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p76tDl4wPTlvP7H1R2Y/Kg68cGECoP7QTGXxytMSxaQ5VTEvBU9gZHqLi7H1v/LroktkLgeghHn2ok4ZgI99Qg==" workbookSaltValue="EkFMvNIY6AbBaJwDiYszI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F16" i="11"/>
  <c r="AQ16" i="11" s="1"/>
  <c r="EP31" i="8"/>
  <c r="AL14" i="16"/>
  <c r="AJ14" i="16"/>
  <c r="EP31" i="19"/>
  <c r="S14" i="16"/>
  <c r="P14" i="16"/>
  <c r="F13" i="16"/>
  <c r="Z14" i="17"/>
  <c r="R30" i="17"/>
  <c r="N26" i="2"/>
  <c r="K30" i="2"/>
  <c r="F30" i="17"/>
  <c r="F26" i="17"/>
  <c r="F14" i="7"/>
  <c r="T14" i="20"/>
  <c r="BB26" i="13"/>
  <c r="BF16" i="8"/>
  <c r="BD9" i="8"/>
  <c r="AH14" i="16"/>
  <c r="AO14" i="21"/>
  <c r="AP14" i="16"/>
  <c r="F11" i="16"/>
  <c r="BL11" i="16" s="1"/>
  <c r="T23" i="17"/>
  <c r="T26" i="17" s="1"/>
  <c r="T30" i="17" s="1"/>
  <c r="U26" i="16"/>
  <c r="BG16" i="13"/>
  <c r="BE17" i="13"/>
  <c r="BF17" i="13"/>
  <c r="E32" i="20"/>
  <c r="AI32" i="20"/>
  <c r="U10" i="11"/>
  <c r="I32" i="20"/>
  <c r="Q32" i="20"/>
  <c r="AE32" i="20"/>
  <c r="AZ32" i="20"/>
  <c r="W32" i="20"/>
  <c r="AJ32" i="20"/>
  <c r="G30" i="14"/>
  <c r="G23" i="14"/>
  <c r="U18" i="11"/>
  <c r="AX32" i="20"/>
  <c r="Y32" i="20"/>
  <c r="L32" i="20"/>
  <c r="AG32" i="20"/>
  <c r="H32" i="20"/>
  <c r="T32" i="21"/>
  <c r="F32" i="20"/>
  <c r="AF32" i="20"/>
  <c r="G26" i="14"/>
  <c r="S32" i="20"/>
  <c r="K32" i="20"/>
  <c r="AQ32" i="21"/>
  <c r="O17" i="11"/>
  <c r="M32" i="20"/>
  <c r="AM32" i="20"/>
  <c r="J32" i="20"/>
  <c r="AK32" i="20"/>
  <c r="U12" i="11"/>
  <c r="AU32" i="20"/>
  <c r="G14" i="14"/>
  <c r="O18" i="11"/>
  <c r="R32" i="20"/>
  <c r="E23" i="12" l="1"/>
  <c r="T31" i="8"/>
  <c r="F28" i="2"/>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K17" i="12" l="1"/>
  <c r="BF23" i="13"/>
  <c r="BL9" i="11"/>
  <c r="BH21" i="16"/>
  <c r="BF11" i="11"/>
  <c r="X12" i="2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AP17" i="20"/>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I21" i="11"/>
  <c r="L10" i="2"/>
  <c r="L28" i="2"/>
  <c r="X21" i="20"/>
  <c r="L16" i="2"/>
  <c r="L17" i="2"/>
  <c r="L18" i="2"/>
  <c r="X16" i="16"/>
  <c r="X23" i="16" s="1"/>
  <c r="AA11" i="16"/>
  <c r="L9" i="2"/>
  <c r="V25" i="16"/>
  <c r="X19" i="16"/>
  <c r="L20" i="2"/>
  <c r="V10" i="16"/>
  <c r="X13" i="16"/>
  <c r="BL19" i="11"/>
  <c r="BJ18" i="11"/>
  <c r="BM17" i="11"/>
  <c r="BF21" i="11"/>
  <c r="BF17" i="11"/>
  <c r="BL12" i="11"/>
  <c r="BK21" i="11"/>
  <c r="BI25" i="11"/>
  <c r="V13" i="11"/>
  <c r="BI19" i="11"/>
  <c r="AP22" i="20"/>
  <c r="BG16" i="11"/>
  <c r="BH13" i="11"/>
  <c r="BL13" i="11"/>
  <c r="P13" i="11" s="1"/>
  <c r="BH18" i="11"/>
  <c r="BM16" i="11"/>
  <c r="AO28" i="17"/>
  <c r="BJ25" i="11"/>
  <c r="AZ16" i="11"/>
  <c r="AZ23"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0" i="21"/>
  <c r="U9" i="17"/>
  <c r="U31" i="17" s="1"/>
  <c r="V9" i="16"/>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E31" i="2" l="1"/>
  <c r="AQ17" i="11"/>
  <c r="P12" i="11"/>
  <c r="AZ26" i="1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<sst xmlns="http://schemas.openxmlformats.org/spreadsheetml/2006/main" count="2668" uniqueCount="1192">
  <si>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</si>
  <si>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</si>
  <si>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</si>
  <si>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</si>
  <si>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</si>
  <si>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</si>
  <si>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</si>
  <si>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</si>
  <si>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</si>
  <si>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</si>
  <si>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</si>
  <si>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</si>
  <si>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</si>
  <si>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</si>
  <si>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</si>
  <si>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</si>
  <si>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</si>
  <si>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</si>
  <si>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</si>
  <si>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</si>
  <si>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</si>
  <si>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</si>
  <si>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</si>
  <si>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</si>
  <si>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</si>
  <si>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</si>
  <si>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</si>
  <si>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</si>
  <si>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</si>
  <si>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</si>
  <si>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</si>
  <si>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</si>
  <si>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</si>
  <si>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</si>
  <si>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</si>
  <si>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</si>
  <si>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</si>
  <si>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</si>
  <si>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</si>
  <si>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</si>
  <si>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</si>
  <si>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</si>
  <si>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</si>
  <si>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</si>
  <si>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</si>
  <si>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</si>
  <si>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</si>
  <si>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</si>
  <si>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</si>
  <si>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</si>
  <si>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</si>
  <si>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</si>
  <si>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</si>
  <si>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</si>
  <si>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</si>
  <si>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</si>
  <si>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</si>
  <si>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</si>
  <si>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</si>
  <si>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</si>
  <si>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</si>
  <si>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</si>
  <si>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</si>
  <si>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</si>
  <si>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</si>
  <si>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</si>
  <si>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</si>
  <si>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</si>
  <si>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</si>
  <si>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</si>
  <si>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</si>
  <si>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</si>
  <si>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</si>
  <si>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</si>
  <si>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</si>
  <si>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</si>
  <si>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</si>
  <si>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</si>
  <si>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</si>
  <si>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</si>
  <si>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</si>
  <si>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</si>
  <si>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</si>
  <si>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</si>
  <si>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</si>
  <si>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</si>
  <si>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</si>
  <si>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</si>
  <si>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</si>
  <si>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</si>
  <si>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</si>
  <si>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</si>
  <si>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</si>
  <si>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</si>
  <si>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</si>
  <si>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</si>
  <si>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</si>
  <si>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</si>
  <si>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</si>
  <si>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</si>
  <si>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</si>
  <si>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</si>
  <si>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</si>
  <si>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</si>
  <si>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</si>
  <si>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</si>
  <si>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</si>
  <si>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</si>
  <si>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</si>
  <si>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</si>
  <si>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</si>
  <si>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</si>
  <si>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</si>
  <si>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</si>
  <si>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</si>
  <si>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</si>
  <si>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</si>
  <si>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</si>
  <si>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</si>
  <si>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</si>
  <si>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</si>
  <si>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</si>
  <si>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</si>
  <si>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</si>
  <si>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</si>
  <si>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</si>
  <si>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</si>
  <si>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</si>
  <si>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</si>
  <si>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</si>
  <si>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</si>
  <si>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</si>
  <si>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</si>
  <si>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</si>
  <si>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</si>
  <si>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</si>
  <si>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</si>
  <si>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</si>
  <si>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</si>
  <si>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</si>
  <si>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</si>
  <si>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</si>
  <si>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</si>
  <si>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</si>
  <si>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</si>
  <si>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</si>
  <si>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</si>
  <si>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</si>
  <si>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</si>
  <si>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</si>
  <si>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</si>
  <si>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</si>
  <si>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</si>
  <si>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</si>
  <si>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</si>
  <si>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</si>
  <si>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</si>
  <si>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</si>
  <si>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</si>
  <si>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</si>
  <si>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</si>
  <si>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</si>
  <si>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</si>
  <si>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</si>
  <si>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</si>
  <si>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</si>
  <si>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</si>
  <si>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</si>
  <si>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</si>
  <si>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</si>
  <si>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</si>
  <si>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</si>
  <si>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</si>
  <si>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</si>
  <si>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</si>
  <si>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</si>
  <si>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</si>
  <si>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</si>
  <si>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</si>
  <si>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</si>
  <si>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</si>
  <si>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</si>
  <si>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</si>
  <si>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</si>
  <si>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</si>
  <si>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</si>
  <si>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</si>
  <si>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</si>
  <si>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</si>
  <si>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</si>
  <si>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</si>
  <si>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</si>
  <si>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</si>
  <si>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</si>
  <si>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</si>
  <si>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</si>
  <si>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</si>
  <si>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</si>
  <si>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</si>
  <si>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</si>
  <si>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</si>
  <si>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</si>
  <si>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</si>
  <si>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</si>
  <si>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</si>
  <si>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</si>
  <si>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</si>
  <si>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</si>
  <si>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</si>
  <si>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</si>
  <si>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</si>
  <si>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</si>
  <si>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</si>
  <si>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</si>
  <si>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</si>
  <si>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</si>
  <si>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</si>
  <si>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</si>
  <si>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</si>
  <si>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</si>
  <si>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</si>
  <si>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</si>
  <si>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</si>
  <si>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</si>
  <si>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</si>
  <si>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</si>
  <si>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</si>
  <si>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</si>
  <si>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</si>
  <si>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</si>
  <si>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</si>
  <si>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</si>
  <si>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</si>
  <si>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</si>
  <si>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</si>
  <si>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</si>
  <si>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</si>
  <si>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</si>
  <si>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</si>
  <si>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</si>
  <si>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</si>
  <si>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</si>
  <si>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</si>
  <si>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</si>
  <si>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</si>
  <si>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</si>
  <si>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</si>
  <si>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</si>
  <si>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</si>
  <si>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</si>
  <si>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</si>
  <si>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</si>
  <si>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</si>
  <si>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</si>
  <si>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</si>
  <si>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</si>
  <si>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</si>
  <si>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</si>
  <si>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</si>
  <si>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</si>
  <si>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</si>
  <si>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</si>
  <si>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</si>
  <si>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</si>
  <si>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</si>
  <si>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</si>
  <si>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</si>
  <si>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</si>
  <si>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</si>
  <si>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</si>
  <si>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</si>
  <si>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</si>
  <si>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</si>
  <si>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</si>
  <si>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</si>
  <si>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</si>
  <si>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</si>
  <si>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</si>
  <si>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</si>
  <si>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</si>
  <si>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</si>
  <si>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</si>
  <si>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</si>
  <si>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</si>
  <si>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</si>
  <si>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</si>
  <si>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</si>
  <si>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</si>
  <si>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</si>
  <si>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</si>
  <si>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</si>
  <si>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</si>
  <si>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</si>
  <si>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</si>
  <si>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</si>
  <si>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</si>
  <si>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</si>
  <si>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</si>
  <si>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</si>
  <si>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</si>
  <si>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</si>
  <si>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</si>
  <si>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</si>
  <si>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</si>
  <si>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</si>
  <si>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</si>
  <si>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</si>
  <si>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</si>
  <si>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</si>
  <si>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</si>
  <si>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</si>
  <si>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</si>
  <si>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</si>
  <si>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</si>
  <si>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</si>
  <si>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</si>
  <si>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</si>
  <si>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</si>
  <si>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</si>
  <si>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</si>
  <si>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</si>
  <si>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</si>
  <si>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</si>
  <si>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</si>
  <si>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</si>
  <si>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</si>
  <si>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</si>
  <si>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</si>
  <si>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</si>
  <si>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</si>
  <si>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</si>
  <si>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</si>
  <si>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</si>
  <si>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</si>
  <si>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</si>
  <si>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</si>
  <si>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</si>
  <si>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</si>
  <si>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</si>
  <si>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</si>
  <si>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</si>
  <si>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</si>
  <si>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</si>
  <si>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</si>
  <si>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</si>
  <si>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</si>
  <si>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</si>
  <si>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</si>
  <si>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</si>
  <si>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</si>
  <si>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</si>
  <si>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</si>
  <si>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</si>
  <si>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</si>
  <si>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</si>
  <si>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</si>
  <si>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</si>
  <si>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</si>
  <si>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</si>
  <si>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</si>
  <si>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</si>
  <si>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</si>
  <si>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</si>
  <si>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</si>
  <si>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</si>
  <si>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</si>
  <si>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</si>
  <si>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</si>
  <si>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</si>
  <si>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</si>
  <si>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</si>
  <si>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</si>
  <si>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</si>
  <si>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</si>
  <si>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</si>
  <si>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</si>
  <si>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</si>
  <si>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</si>
  <si>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</si>
  <si>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</si>
  <si>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</si>
  <si>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</si>
  <si>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</si>
  <si>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</si>
  <si>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</si>
  <si>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</si>
  <si>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</si>
  <si>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</si>
  <si>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</si>
  <si>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</si>
  <si>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</si>
  <si>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</si>
  <si>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</si>
  <si>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</si>
  <si>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</si>
  <si>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</si>
  <si>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</si>
  <si>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</si>
  <si>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</si>
  <si>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</si>
  <si>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</si>
  <si>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</si>
  <si>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</si>
  <si>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</si>
  <si>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</si>
  <si>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</si>
  <si>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</si>
  <si>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</si>
  <si>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</si>
  <si>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</si>
  <si>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</si>
  <si>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</si>
  <si>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</si>
  <si>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</si>
  <si>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</si>
  <si>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</si>
  <si>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</si>
  <si>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</si>
  <si>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</si>
  <si>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</si>
  <si>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</si>
  <si>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</si>
  <si>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</si>
  <si>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</si>
  <si>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</si>
  <si>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</si>
  <si>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</si>
  <si>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</si>
  <si>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</si>
  <si>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</si>
  <si>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</si>
  <si>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</si>
  <si>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</si>
  <si>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</si>
  <si>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</si>
  <si>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</si>
  <si>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</si>
  <si>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</si>
  <si>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</si>
  <si>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</si>
  <si>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</si>
  <si>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</si>
  <si>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</si>
  <si>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</si>
  <si>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</si>
  <si>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</si>
  <si>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</si>
  <si>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</si>
  <si>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</si>
  <si>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</si>
  <si>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</si>
  <si>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</si>
  <si>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</si>
  <si>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</si>
  <si>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</si>
  <si>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</si>
  <si>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</si>
  <si>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</si>
  <si>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</si>
  <si>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</si>
  <si>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</si>
  <si>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</si>
  <si>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</si>
  <si>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</si>
  <si>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</si>
  <si>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</si>
  <si>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</si>
  <si>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</si>
  <si>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</si>
  <si>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</si>
  <si>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</si>
  <si>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</si>
  <si>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</si>
  <si>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</si>
  <si>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</si>
  <si>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</si>
  <si>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</si>
  <si>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</si>
  <si>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</si>
  <si>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</si>
  <si>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</si>
  <si>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</si>
  <si>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</si>
  <si>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</si>
  <si>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</si>
  <si>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</si>
  <si>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</si>
  <si>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</si>
  <si>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</si>
  <si>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</si>
  <si>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</si>
  <si>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</si>
  <si>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</si>
  <si>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</si>
  <si>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</si>
  <si>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</si>
  <si>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</si>
  <si>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</si>
  <si>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</si>
  <si>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</si>
  <si>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</si>
  <si>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</si>
  <si>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</si>
  <si>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</si>
  <si>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</si>
  <si>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</si>
  <si>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</si>
  <si>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</si>
  <si>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</si>
  <si>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</si>
  <si>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</si>
  <si>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</si>
  <si>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</si>
  <si>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</si>
  <si>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</si>
  <si>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</si>
  <si>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</si>
  <si>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</si>
  <si>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</si>
  <si>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</si>
  <si>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</si>
  <si>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</si>
  <si>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</si>
  <si>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</si>
  <si>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</si>
  <si>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</si>
  <si>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</si>
  <si>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</si>
  <si>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</si>
  <si>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</si>
  <si>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</si>
  <si>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</si>
  <si>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</si>
  <si>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</si>
  <si>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</si>
  <si>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</si>
  <si>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</si>
  <si>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</si>
  <si>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</si>
  <si>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</si>
  <si>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</si>
  <si>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</si>
  <si>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</si>
  <si>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</si>
  <si>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</si>
  <si>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</si>
  <si>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</si>
  <si>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</si>
  <si>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</si>
  <si>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</si>
  <si>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</si>
  <si>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</si>
  <si>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</si>
  <si>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</si>
  <si>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</si>
  <si>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</si>
  <si>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</si>
  <si>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</si>
  <si>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</si>
  <si>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</si>
  <si>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</si>
  <si>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</si>
  <si>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</si>
  <si>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</si>
  <si>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</si>
  <si>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</si>
  <si>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</si>
  <si>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</si>
  <si>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</si>
  <si>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</si>
  <si>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</si>
  <si>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</si>
  <si>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</si>
  <si>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</si>
  <si>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</si>
  <si>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</si>
  <si>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</si>
  <si>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</si>
  <si>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</si>
  <si>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</si>
  <si>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</si>
  <si>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</si>
  <si>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</si>
  <si>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</si>
  <si>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</si>
  <si>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</si>
  <si>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</si>
  <si>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</si>
  <si>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</si>
  <si>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</si>
  <si>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</si>
  <si>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</si>
  <si>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</si>
  <si>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</si>
  <si>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</si>
  <si>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</si>
  <si>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</si>
  <si>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</si>
  <si>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</si>
  <si>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</si>
  <si>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</si>
  <si>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</si>
  <si>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</si>
  <si>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</si>
  <si>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</si>
  <si>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</si>
  <si>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</si>
  <si>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</si>
  <si>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</si>
  <si>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</si>
  <si>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</si>
  <si>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</si>
  <si>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</si>
  <si>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</si>
  <si>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</si>
  <si>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</si>
  <si>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</si>
  <si>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</si>
  <si>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</si>
  <si>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</si>
  <si>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</si>
  <si>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</si>
  <si>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</si>
  <si>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</si>
  <si>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</si>
  <si>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</si>
  <si>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</si>
  <si>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</si>
  <si>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</si>
  <si>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</si>
  <si>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</si>
  <si>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</si>
  <si>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</si>
  <si>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</si>
  <si>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</si>
  <si>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</si>
  <si>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</si>
  <si>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</si>
  <si>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</si>
  <si>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</si>
  <si>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</si>
  <si>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</si>
  <si>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</si>
  <si>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</si>
  <si>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</si>
  <si>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</si>
  <si>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</si>
  <si>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</si>
  <si>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</si>
  <si>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</si>
  <si>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</si>
  <si>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</si>
  <si>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</si>
  <si>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</si>
  <si>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</si>
  <si>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</si>
  <si>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</si>
  <si>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</si>
  <si>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</si>
  <si>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</si>
  <si>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</si>
  <si>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</si>
  <si>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</si>
  <si>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</si>
  <si>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</si>
  <si>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</si>
  <si>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</si>
  <si>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</si>
  <si>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</si>
  <si>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</si>
  <si>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</si>
  <si>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</si>
  <si>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</si>
  <si>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</si>
  <si>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</si>
  <si>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</si>
  <si>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</si>
  <si>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</si>
  <si>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</si>
  <si>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</si>
  <si>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</si>
  <si>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</si>
  <si>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</si>
  <si>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</si>
  <si>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</si>
  <si>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</si>
  <si>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</si>
  <si>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</si>
  <si>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</si>
  <si>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</si>
  <si>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</si>
  <si>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</si>
  <si>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</si>
  <si>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</si>
  <si>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</si>
  <si>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</si>
  <si>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</si>
  <si>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</si>
  <si>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</si>
  <si>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</si>
  <si>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</si>
  <si>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</si>
  <si>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</si>
  <si>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</si>
  <si>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</si>
  <si>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</si>
  <si>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</si>
  <si>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</si>
  <si>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</si>
  <si>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</si>
  <si>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</si>
  <si>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</si>
  <si>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</si>
  <si>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</si>
  <si>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</si>
  <si>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</si>
  <si>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</si>
  <si>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</si>
  <si>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</si>
  <si>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</si>
  <si>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</si>
  <si>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</si>
  <si>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</si>
  <si>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</si>
  <si>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</si>
  <si>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</si>
  <si>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</si>
  <si>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</si>
  <si>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</si>
  <si>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</si>
  <si>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</si>
  <si>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</si>
  <si>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</si>
  <si>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</si>
  <si>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</si>
  <si>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</si>
  <si>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</si>
  <si>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</si>
  <si>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</si>
  <si>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</si>
  <si>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</si>
  <si>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</si>
  <si>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</si>
  <si>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</si>
  <si>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</si>
  <si>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</si>
  <si>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</si>
  <si>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</si>
  <si>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</si>
  <si>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</si>
  <si>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</si>
  <si>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</si>
  <si>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</si>
  <si>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</si>
  <si>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</si>
  <si>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</si>
  <si>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</si>
  <si>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</si>
  <si>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</si>
  <si>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</si>
  <si>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</si>
  <si>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</si>
  <si>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</si>
  <si>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</si>
  <si>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</si>
  <si>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</si>
  <si>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</si>
  <si>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</si>
  <si>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</si>
  <si>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</si>
  <si>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</si>
  <si>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</si>
  <si>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</si>
  <si>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</si>
  <si>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</si>
  <si>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</si>
  <si>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</si>
  <si>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</si>
  <si>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</si>
  <si>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</si>
  <si>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</si>
  <si>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</si>
  <si>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</si>
  <si>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</si>
  <si>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</si>
  <si>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</si>
  <si>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</si>
  <si>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</si>
  <si>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</si>
  <si>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</si>
  <si>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</si>
  <si>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</si>
  <si>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</si>
  <si>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</si>
  <si>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</si>
  <si>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</si>
  <si>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</si>
  <si>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</si>
  <si>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</si>
  <si>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</si>
  <si>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</si>
  <si>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</si>
  <si>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</si>
  <si>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</si>
  <si>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</si>
  <si>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</si>
  <si>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</si>
  <si>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</si>
  <si>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</si>
  <si>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</si>
  <si>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</si>
  <si>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</si>
  <si>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</si>
  <si>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</si>
  <si>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</si>
  <si>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</si>
  <si>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</si>
  <si>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</si>
  <si>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</si>
  <si>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</si>
  <si>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</si>
  <si>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</si>
  <si>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</si>
  <si>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</si>
  <si>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</si>
  <si>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</si>
  <si>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</si>
  <si>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</si>
  <si>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</si>
  <si>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</si>
  <si>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</si>
  <si>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</si>
  <si>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</si>
  <si>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</si>
  <si>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</si>
  <si>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</si>
  <si>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</si>
  <si>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</si>
  <si>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</si>
  <si>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</si>
  <si>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</si>
  <si>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</si>
  <si>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</si>
  <si>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</si>
  <si>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</si>
  <si>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</si>
  <si>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</si>
  <si>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</si>
  <si>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</si>
  <si>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</si>
  <si>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</si>
  <si>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</si>
  <si>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</si>
  <si>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</si>
  <si>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</si>
  <si>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</si>
  <si>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</si>
  <si>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</si>
  <si>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</si>
  <si>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</si>
  <si>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</si>
  <si>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</si>
  <si>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</si>
  <si>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</si>
  <si>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</si>
  <si>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</si>
  <si>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</si>
  <si>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</si>
  <si>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</si>
  <si>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</si>
  <si>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</si>
  <si>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</si>
  <si>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</si>
  <si>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</si>
  <si>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</si>
  <si>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</si>
  <si>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</si>
  <si>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</si>
  <si>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</si>
  <si>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</si>
  <si>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</si>
  <si>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</si>
  <si>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</si>
  <si>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</si>
  <si>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</si>
  <si>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</si>
  <si>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</si>
  <si>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</si>
  <si>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</si>
  <si>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</si>
  <si>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</si>
  <si>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</si>
  <si>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</si>
  <si>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</si>
  <si>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</si>
  <si>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</si>
  <si>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</si>
  <si>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</si>
  <si>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</si>
  <si>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</si>
  <si>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</si>
  <si>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</si>
  <si>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</si>
  <si>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</si>
  <si>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</si>
  <si>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</si>
  <si>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</si>
  <si>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</si>
  <si>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</si>
  <si>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</si>
  <si>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</si>
  <si>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</si>
  <si>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</si>
  <si>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</si>
  <si>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</si>
  <si>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</si>
  <si>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</si>
  <si>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</si>
  <si>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</si>
  <si>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</si>
  <si>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</si>
  <si>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</si>
  <si>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</si>
  <si>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</si>
  <si>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</si>
  <si>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</si>
  <si>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</si>
  <si>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</si>
  <si>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</si>
  <si>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</si>
  <si>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</si>
  <si>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</si>
  <si>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</si>
  <si>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</si>
  <si>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</si>
  <si>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</si>
  <si>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</si>
  <si>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</si>
  <si>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</si>
  <si>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</si>
  <si>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</si>
  <si>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</si>
  <si>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</si>
  <si>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</si>
  <si>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</si>
  <si>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</si>
  <si>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</si>
  <si>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</si>
  <si>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</si>
  <si>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</si>
  <si>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</si>
  <si>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</si>
  <si>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</si>
  <si>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</si>
  <si>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</si>
  <si>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</si>
  <si>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</si>
  <si>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</si>
  <si>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</si>
  <si>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</si>
  <si>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</si>
  <si>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</si>
  <si>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</si>
  <si>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</si>
  <si>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</si>
  <si>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</si>
  <si>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</si>
  <si>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</si>
  <si>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</si>
  <si>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</si>
  <si>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</si>
  <si>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</si>
  <si>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</si>
  <si>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</si>
  <si>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</si>
  <si>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</si>
  <si>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</si>
  <si>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</si>
  <si>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</si>
  <si>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</si>
  <si>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</si>
  <si>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</si>
  <si>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</si>
  <si>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</si>
  <si>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</si>
  <si>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</si>
  <si>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</si>
  <si>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</si>
  <si>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</si>
  <si>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</si>
  <si>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</si>
  <si>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</si>
  <si>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</si>
  <si>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</si>
  <si>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</si>
  <si>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</si>
  <si>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</si>
  <si>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</si>
  <si>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</si>
  <si>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</si>
  <si>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</si>
  <si>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</si>
  <si>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</si>
  <si>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</si>
  <si>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</si>
  <si>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</si>
  <si>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</si>
  <si>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</si>
  <si>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</si>
  <si>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</si>
  <si>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</si>
  <si>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</si>
  <si>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</si>
  <si>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</si>
  <si>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</si>
  <si>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</si>
  <si>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</si>
  <si>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</si>
  <si>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</si>
  <si>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</si>
  <si>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</si>
  <si>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</si>
  <si>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</si>
  <si>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</si>
  <si>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</si>
  <si>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</si>
  <si>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</si>
  <si>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</si>
  <si>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</si>
  <si>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</si>
  <si>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</si>
  <si>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</si>
  <si>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</si>
  <si>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</si>
  <si>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</si>
  <si>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</si>
  <si>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</si>
  <si>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</si>
  <si>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</si>
  <si>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</si>
  <si>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</si>
  <si>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</si>
  <si>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</si>
  <si>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</si>
  <si>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</si>
  <si>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</si>
  <si>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</si>
  <si>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</si>
  <si>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</si>
  <si>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</si>
  <si>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</si>
  <si>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</si>
  <si>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</si>
  <si>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</si>
  <si>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</si>
  <si>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</si>
  <si>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</si>
  <si>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</si>
  <si>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</si>
  <si>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</si>
  <si>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</si>
  <si>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</si>
  <si>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</si>
  <si>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</si>
  <si>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</si>
  <si>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</si>
  <si>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</si>
  <si>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</si>
  <si>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</si>
  <si>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</si>
  <si>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</si>
  <si>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</si>
  <si>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</si>
  <si>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</si>
  <si>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</si>
  <si>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</si>
  <si>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</si>
  <si>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</si>
  <si>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</si>
  <si>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</si>
  <si>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</si>
  <si>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</si>
  <si>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</si>
  <si>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</si>
  <si>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</si>
  <si>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</si>
  <si>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</si>
  <si>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</si>
  <si>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</si>
  <si>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</si>
  <si>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</si>
  <si>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</si>
  <si>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</si>
  <si>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</si>
  <si>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</si>
  <si>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</si>
  <si>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</si>
  <si>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</si>
  <si>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</si>
  <si>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</si>
  <si>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</si>
  <si>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</si>
  <si>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</si>
  <si>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</si>
  <si>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</si>
  <si>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</si>
  <si>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</si>
  <si>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</si>
  <si>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</si>
  <si>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</si>
  <si>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</si>
  <si>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</si>
  <si>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</si>
  <si>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</si>
  <si>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</si>
  <si>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</si>
  <si>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</si>
  <si>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</si>
  <si>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</si>
  <si>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</si>
  <si>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</si>
  <si>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</si>
  <si>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</si>
  <si>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</si>
  <si>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</si>
  <si>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</si>
  <si>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</si>
  <si>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</si>
  <si>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</si>
  <si>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</si>
  <si>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</si>
  <si>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</si>
  <si>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</si>
  <si>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</si>
  <si>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</si>
  <si>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</si>
  <si>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</si>
  <si>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</si>
  <si>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</si>
  <si>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</si>
  <si>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</si>
  <si>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</si>
  <si>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</si>
  <si>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</si>
  <si>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</si>
  <si>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</si>
  <si>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</si>
  <si>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</si>
  <si>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</si>
  <si>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</si>
  <si>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</si>
  <si>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</si>
  <si>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</si>
  <si>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</si>
  <si>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</si>
  <si>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</si>
  <si>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</si>
  <si>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</si>
  <si>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</si>
  <si>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</si>
  <si>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</si>
  <si>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</si>
  <si>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</si>
  <si>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</si>
  <si>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</si>
  <si>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</si>
  <si>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</si>
  <si>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</si>
  <si>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</si>
  <si>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</si>
  <si>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</si>
  <si>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</si>
  <si>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</si>
  <si>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</si>
  <si>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</si>
  <si>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</si>
  <si>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</si>
  <si>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</si>
  <si>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</si>
  <si>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</si>
  <si>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</si>
  <si>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</si>
  <si>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</si>
  <si>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</si>
  <si>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</si>
  <si>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</si>
  <si>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</si>
  <si>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</si>
  <si>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</si>
  <si>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</si>
  <si>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CORDOBA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</si>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</sst>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AwCdUSo25cZ7UJ7GppMhjRSXDk2FLRZLIilEi4zULtBWgkzPRs1TERBeB6sEhdkki1IQn65dI+4eW4kdZ1mMFw==" saltValue="xZdOhjtyZHb6pFKX92hJD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9</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43.861328790459964</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2</v>
      </c>
      <c r="B10" s="1461" t="str">
        <f>Datos!A10</f>
        <v>Jdos. Violencia contra la mujer</v>
      </c>
      <c r="C10" s="239">
        <f t="shared" si="0"/>
        <v>195</v>
      </c>
      <c r="D10" s="239">
        <f>IF(ISNUMBER(Datos!I10),Datos!I10," - ")</f>
        <v>195</v>
      </c>
      <c r="E10" s="240">
        <f>IF(ISNUMBER(Datos!J10),Datos!J10," - ")</f>
        <v>63</v>
      </c>
      <c r="F10" s="240">
        <f>IF(ISNUMBER(Datos!K10),Datos!K10," - ")</f>
        <v>67</v>
      </c>
      <c r="G10" s="1390" t="str">
        <f>IF(Datos!E10&lt;&gt;"",Datos!E10,Datos!D10)</f>
        <v>37</v>
      </c>
      <c r="H10" s="241">
        <f>IF(ISNUMBER(Datos!L10),Datos!L10," - ")</f>
        <v>191</v>
      </c>
      <c r="I10" s="1400" t="str">
        <f>IF(ISNUMBER(Datos!AS10/Datos!BM10),Datos!AS10/Datos!BM10," - ")</f>
        <v xml:space="preserve"> - </v>
      </c>
      <c r="J10" s="1401">
        <f>IF(ISNUMBER(Datos!BY10/Datos!CN10),Datos!BY10/Datos!CN10," - ")</f>
        <v>0</v>
      </c>
      <c r="K10" s="244">
        <f t="shared" ref="K10:K13" si="1">IF(ISNUMBER((E10-F10)/C10),(E10-F10)/C10," - ")</f>
        <v>-2.0512820512820513E-2</v>
      </c>
      <c r="L10" s="1402">
        <f>IF(ISNUMBER(NºAsuntos!I10/NºAsuntos!G10),(NºAsuntos!I10/NºAsuntos!G10)*11," - ")</f>
        <v>31.35820895522388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20.2</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195</v>
      </c>
      <c r="D14" s="1407">
        <f>SUBTOTAL(9,D9:D13)</f>
        <v>195</v>
      </c>
      <c r="E14" s="1408">
        <f>SUBTOTAL(9,E9:E13)</f>
        <v>63</v>
      </c>
      <c r="F14" s="1409">
        <f>SUBTOTAL(9,F9:F13)</f>
        <v>67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8</v>
      </c>
      <c r="B16" s="1461" t="str">
        <f>Datos!A16</f>
        <v xml:space="preserve">Jdos. Instrucción                               </v>
      </c>
      <c r="C16" s="239">
        <f t="shared" ref="C16:C22" si="2">IF(ISNUMBER(H16-E16+F16),H16-E16+F16," - ")</f>
        <v>2949</v>
      </c>
      <c r="D16" s="239">
        <f>IF(ISNUMBER(IF(D_I="SI",Datos!I16,Datos!I16+Datos!AC16)),IF(D_I="SI",Datos!I16,Datos!I16+Datos!AC16)," - ")</f>
        <v>2842</v>
      </c>
      <c r="E16" s="240">
        <f>IF(ISNUMBER(IF(D_I="SI",Datos!J16,Datos!J16+Datos!AD16)),IF(D_I="SI",Datos!J16,Datos!J16+Datos!AD16)," - ")</f>
        <v>6373</v>
      </c>
      <c r="F16" s="240">
        <f>IF(ISNUMBER(IF(D_I="SI",Datos!K16,Datos!K16+Datos!AE16)),IF(D_I="SI",Datos!K16,Datos!K16+Datos!AE16)," - ")</f>
        <v>6147</v>
      </c>
      <c r="G16" s="1390" t="str">
        <f>IF(Datos!E16&lt;&gt;"",Datos!E16,Datos!D16)</f>
        <v>03</v>
      </c>
      <c r="H16" s="241">
        <f>IF(ISNUMBER(IF(D_I="SI",Datos!L16,Datos!L16+Datos!AF16)),IF(D_I="SI",Datos!L16,Datos!L16+Datos!AF16)," - ")</f>
        <v>3175</v>
      </c>
      <c r="I16" s="1400" t="str">
        <f>IF(ISNUMBER(Datos!AS16/Datos!BM16),Datos!AS16/Datos!BM16," - ")</f>
        <v xml:space="preserve"> - </v>
      </c>
      <c r="J16" s="1401">
        <f>IF(ISNUMBER(Datos!BY16/Datos!CN16),Datos!BY16/Datos!CN16," - ")</f>
        <v>0</v>
      </c>
      <c r="K16" s="244">
        <f t="shared" ref="K16:K22" si="3">IF(ISNUMBER((E16-F16)/C16),(E16-F16)/C16," - ")</f>
        <v>7.6636147846727704E-2</v>
      </c>
      <c r="L16" s="1402">
        <f>IF(ISNUMBER(NºAsuntos!I16/NºAsuntos!G16),(NºAsuntos!I16/NºAsuntos!G16)*11," - ")</f>
        <v>5.6816333170652351</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2</v>
      </c>
      <c r="B18" s="1461" t="str">
        <f>Datos!A18</f>
        <v>Jdos. Violencia contra la mujer</v>
      </c>
      <c r="C18" s="239">
        <f t="shared" si="2"/>
        <v>348</v>
      </c>
      <c r="D18" s="239">
        <f>IF(ISNUMBER(IF(D_I="SI",Datos!I18,Datos!I18+Datos!AC18)),IF(D_I="SI",Datos!I18,Datos!I18+Datos!AC18)," - ")</f>
        <v>348</v>
      </c>
      <c r="E18" s="240">
        <f>IF(ISNUMBER(IF(D_I="SI",Datos!J18,Datos!J18+Datos!AD18)),IF(D_I="SI",Datos!J18,Datos!J18+Datos!AD18)," - ")</f>
        <v>501</v>
      </c>
      <c r="F18" s="240">
        <f>IF(ISNUMBER(IF(D_I="SI",Datos!K18,Datos!K18+Datos!AE18)),IF(D_I="SI",Datos!K18,Datos!K18+Datos!AE18)," - ")</f>
        <v>497</v>
      </c>
      <c r="G18" s="1390" t="str">
        <f>IF(Datos!E18&lt;&gt;"",Datos!E18,Datos!D18)</f>
        <v>37</v>
      </c>
      <c r="H18" s="241">
        <f>IF(ISNUMBER(IF(D_I="SI",Datos!L18,Datos!L18+Datos!AF18)),IF(D_I="SI",Datos!L18,Datos!L18+Datos!AF18)," - ")</f>
        <v>352</v>
      </c>
      <c r="I18" s="1400" t="str">
        <f>IF(ISNUMBER(Datos!AS18/Datos!BM18),Datos!AS18/Datos!BM18," - ")</f>
        <v xml:space="preserve"> - </v>
      </c>
      <c r="J18" s="1401" t="str">
        <f>IF(ISNUMBER((Datos!BY18+Datos!BZ18)/Datos!CN18),(Datos!BY18+Datos!BZ18)/Datos!CN18," - ")</f>
        <v xml:space="preserve"> - </v>
      </c>
      <c r="K18" s="244">
        <f t="shared" si="3"/>
        <v>1.1494252873563218E-2</v>
      </c>
      <c r="L18" s="1402">
        <f>IF(ISNUMBER(NºAsuntos!I18/NºAsuntos!G18),(NºAsuntos!I18/NºAsuntos!G18)*11," - ")</f>
        <v>7.7907444668008043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3297</v>
      </c>
      <c r="D23" s="1407">
        <f>SUBTOTAL(9,D16:D22)</f>
        <v>3190</v>
      </c>
      <c r="E23" s="1408">
        <f>SUBTOTAL(9,E16:E22)</f>
        <v>6874</v>
      </c>
      <c r="F23" s="1408">
        <f>SUBTOTAL(9,F16:F22)</f>
        <v>6644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3492</v>
      </c>
      <c r="D31" s="1435">
        <f>SUBTOTAL(9,D9:D30)</f>
        <v>3385</v>
      </c>
      <c r="E31" s="1436">
        <f>SUBTOTAL(9,E9:E30)</f>
        <v>6937</v>
      </c>
      <c r="F31" s="1436">
        <f>SUBTOTAL(9,F9:F30)</f>
        <v>6711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i+bfwLrZZTBgFtooNXAw3hRp4k3ohTJyNaElQcwAn9+bUGX5OTkIa/plvc3RrdT3flf3QYGxLcIP7tY46lBiSw==" saltValue="ef1QTRryY6+faYYbwcL4Y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bBXfQQERPY96I1jb9YastrgDaBr9keK/JIEKBJTeuoy7u8MWK1nj0XIZnf8NJVwKAT+dbYlK3YUS3kyk64AuCQ==" saltValue="P7NThG1hG9aWb4KptfSJ4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11255</v>
      </c>
      <c r="J9" s="194">
        <v>2884</v>
      </c>
      <c r="K9" s="194">
        <v>2709</v>
      </c>
      <c r="L9" s="194">
        <v>11430</v>
      </c>
      <c r="M9" s="194">
        <v>620</v>
      </c>
      <c r="N9" s="194">
        <v>1126</v>
      </c>
      <c r="O9" s="194">
        <v>1501</v>
      </c>
      <c r="P9" s="194">
        <v>852</v>
      </c>
      <c r="Q9" s="194">
        <v>1047</v>
      </c>
      <c r="R9" s="194">
        <v>14395</v>
      </c>
      <c r="S9" s="194">
        <v>11919</v>
      </c>
      <c r="T9" s="194">
        <v>2514</v>
      </c>
      <c r="U9" s="194">
        <v>2588</v>
      </c>
      <c r="V9" s="194">
        <v>11845</v>
      </c>
      <c r="W9" s="194">
        <v>632</v>
      </c>
      <c r="X9" s="201">
        <v>996</v>
      </c>
      <c r="Y9" s="204">
        <v>246</v>
      </c>
      <c r="Z9" s="194">
        <v>252</v>
      </c>
      <c r="AA9" s="194">
        <v>226</v>
      </c>
      <c r="AB9" s="194">
        <v>273</v>
      </c>
      <c r="AC9" s="194">
        <v>0</v>
      </c>
      <c r="AD9" s="194">
        <v>0</v>
      </c>
      <c r="AE9" s="194">
        <v>0</v>
      </c>
      <c r="AF9" s="201">
        <v>0</v>
      </c>
      <c r="AG9" s="204">
        <v>276</v>
      </c>
      <c r="AH9" s="194">
        <v>286</v>
      </c>
      <c r="AI9" s="194">
        <v>241</v>
      </c>
      <c r="AJ9" s="205">
        <v>321</v>
      </c>
      <c r="AK9" s="193">
        <v>0</v>
      </c>
      <c r="AL9" s="194">
        <v>0</v>
      </c>
      <c r="AM9" s="194">
        <v>0</v>
      </c>
      <c r="AN9" s="201">
        <v>0</v>
      </c>
      <c r="AO9" s="282">
        <v>9</v>
      </c>
      <c r="AP9" s="167">
        <v>9</v>
      </c>
      <c r="AQ9" s="167">
        <v>9</v>
      </c>
      <c r="AR9" s="206">
        <v>9</v>
      </c>
      <c r="AS9" s="379" t="s">
        <v>1072</v>
      </c>
      <c r="AT9" s="208"/>
      <c r="AU9" s="207"/>
      <c r="AV9" s="208"/>
      <c r="AW9" s="207"/>
      <c r="AX9" s="208"/>
      <c r="AY9" s="133">
        <f>IF(ISNUMBER(IF(J_V="SI",S9,S9+AG9)),IF(J_V="SI",S9,S9+AG9)," - ")</f>
        <v>12195</v>
      </c>
      <c r="AZ9" s="133">
        <f>IF(ISNUMBER(IF(J_V="SI",T9,T9+AH9)),IF(J_V="SI",T9,T9+AH9)," - ")</f>
        <v>2800</v>
      </c>
      <c r="BA9" s="134">
        <f>IF(ISNUMBER(IF(J_V="SI",U9,U9+AI9)),IF(J_V="SI",U9,U9+AI9)," - ")</f>
        <v>2829</v>
      </c>
      <c r="BB9" s="134">
        <f>IF(ISNUMBER(IF(J_V="SI",V9,V9+AJ9)),IF(J_V="SI",V9,V9+AJ9)," - ")</f>
        <v>12166</v>
      </c>
      <c r="BC9" s="135">
        <f>IF(ISNUMBER(X9),X9," - ")</f>
        <v>996</v>
      </c>
      <c r="BD9" s="136">
        <f>IF(ISNUMBER(BA9/AZ9),BA9/AZ9," - ")</f>
        <v>1.010357142857143</v>
      </c>
      <c r="BE9" s="137">
        <f>IF(ISNUMBER(BB9/BA9),BB9/BA9, " - ")</f>
        <v>4.3004595263343939</v>
      </c>
      <c r="BF9" s="137">
        <f>IF(ISNUMBER(BC9/BA9),BC9/BA9, " - ")</f>
        <v>0.35206786850477201</v>
      </c>
      <c r="BG9" s="209">
        <f>IF(ISNUMBER((AY9+AZ9)/BA9),(AY9+AZ9)/BA9," - ")</f>
        <v>5.3004595263343939</v>
      </c>
      <c r="BH9" s="167">
        <v>9</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195</v>
      </c>
      <c r="J10" s="194">
        <v>63</v>
      </c>
      <c r="K10" s="194">
        <v>67</v>
      </c>
      <c r="L10" s="194">
        <v>191</v>
      </c>
      <c r="M10" s="194">
        <v>12</v>
      </c>
      <c r="N10" s="194">
        <v>12</v>
      </c>
      <c r="O10" s="194">
        <v>48</v>
      </c>
      <c r="P10" s="194">
        <v>17</v>
      </c>
      <c r="Q10" s="194">
        <v>5</v>
      </c>
      <c r="R10" s="194">
        <v>176</v>
      </c>
      <c r="S10" s="194">
        <v>149</v>
      </c>
      <c r="T10" s="194">
        <v>57</v>
      </c>
      <c r="U10" s="194">
        <v>31</v>
      </c>
      <c r="V10" s="194">
        <v>175</v>
      </c>
      <c r="W10" s="194">
        <v>11</v>
      </c>
      <c r="X10" s="201">
        <v>10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2</v>
      </c>
      <c r="AP10" s="168">
        <v>1</v>
      </c>
      <c r="AQ10" s="167">
        <v>1</v>
      </c>
      <c r="AR10" s="168">
        <v>1</v>
      </c>
      <c r="AS10" s="380" t="s">
        <v>1066</v>
      </c>
      <c r="AT10" s="205"/>
      <c r="AU10" s="213"/>
      <c r="AV10" s="205"/>
      <c r="AW10" s="213"/>
      <c r="AX10" s="205"/>
      <c r="AY10" s="138">
        <f t="shared" ref="AY10:BC10" si="0">IF(ISNUMBER(S10),S10," - ")</f>
        <v>149</v>
      </c>
      <c r="AZ10" s="139">
        <f t="shared" si="0"/>
        <v>57</v>
      </c>
      <c r="BA10" s="139">
        <f t="shared" si="0"/>
        <v>31</v>
      </c>
      <c r="BB10" s="139">
        <f t="shared" si="0"/>
        <v>175</v>
      </c>
      <c r="BC10" s="135">
        <f t="shared" si="0"/>
        <v>11</v>
      </c>
      <c r="BD10" s="136">
        <f>IF(ISNUMBER(BA10/AZ10),BA10/AZ10," - ")</f>
        <v>0.54385964912280704</v>
      </c>
      <c r="BE10" s="137">
        <f>IF(ISNUMBER(BB10/BA10),BB10/BA10, " - ")</f>
        <v>5.645161290322581</v>
      </c>
      <c r="BF10" s="137">
        <f>IF(ISNUMBER(BC10/BA10),BC10/BA10, " - ")</f>
        <v>0.35483870967741937</v>
      </c>
      <c r="BG10" s="209">
        <f>IF(ISNUMBER((AY10+AZ10)/BA10),(AY10+AZ10)/BA10," - ")</f>
        <v>6.645161290322581</v>
      </c>
      <c r="BH10" s="168">
        <v>2</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1326</v>
      </c>
      <c r="J11" s="196">
        <v>481</v>
      </c>
      <c r="K11" s="196">
        <v>546</v>
      </c>
      <c r="L11" s="196">
        <v>1265</v>
      </c>
      <c r="M11" s="196">
        <v>313</v>
      </c>
      <c r="N11" s="196">
        <v>348</v>
      </c>
      <c r="O11" s="194">
        <v>195</v>
      </c>
      <c r="P11" s="196">
        <v>75</v>
      </c>
      <c r="Q11" s="196">
        <v>158</v>
      </c>
      <c r="R11" s="196">
        <v>949</v>
      </c>
      <c r="S11" s="196">
        <v>1389</v>
      </c>
      <c r="T11" s="196">
        <v>529</v>
      </c>
      <c r="U11" s="196">
        <v>510</v>
      </c>
      <c r="V11" s="196">
        <v>1408</v>
      </c>
      <c r="W11" s="196">
        <v>251</v>
      </c>
      <c r="X11" s="202">
        <v>423</v>
      </c>
      <c r="Y11" s="204">
        <v>136</v>
      </c>
      <c r="Z11" s="194">
        <v>237</v>
      </c>
      <c r="AA11" s="194">
        <v>224</v>
      </c>
      <c r="AB11" s="194">
        <v>149</v>
      </c>
      <c r="AC11" s="196">
        <v>0</v>
      </c>
      <c r="AD11" s="196">
        <v>0</v>
      </c>
      <c r="AE11" s="196">
        <v>0</v>
      </c>
      <c r="AF11" s="202">
        <v>0</v>
      </c>
      <c r="AG11" s="215">
        <v>233</v>
      </c>
      <c r="AH11" s="196">
        <v>232</v>
      </c>
      <c r="AI11" s="196">
        <v>313</v>
      </c>
      <c r="AJ11" s="216">
        <v>152</v>
      </c>
      <c r="AK11" s="195">
        <v>0</v>
      </c>
      <c r="AL11" s="196">
        <v>0</v>
      </c>
      <c r="AM11" s="196">
        <v>0</v>
      </c>
      <c r="AN11" s="202">
        <v>0</v>
      </c>
      <c r="AO11" s="283">
        <v>2</v>
      </c>
      <c r="AP11" s="168">
        <v>2</v>
      </c>
      <c r="AQ11" s="168">
        <v>2</v>
      </c>
      <c r="AR11" s="167">
        <v>2</v>
      </c>
      <c r="AS11" s="381" t="s">
        <v>1074</v>
      </c>
      <c r="AT11" s="216"/>
      <c r="AU11" s="215"/>
      <c r="AV11" s="216"/>
      <c r="AW11" s="215"/>
      <c r="AX11" s="216"/>
      <c r="AY11" s="136">
        <f t="shared" ref="AY11:BB12" si="1">IF(ISNUMBER(IF(J_V="SI",S11,S11+AG11)),IF(J_V="SI",S11,S11+AG11)," - ")</f>
        <v>1622</v>
      </c>
      <c r="AZ11" s="137">
        <f t="shared" si="1"/>
        <v>761</v>
      </c>
      <c r="BA11" s="137">
        <f t="shared" si="1"/>
        <v>823</v>
      </c>
      <c r="BB11" s="137">
        <f t="shared" si="1"/>
        <v>1560</v>
      </c>
      <c r="BC11" s="135">
        <f>IF(ISNUMBER(X11),X11," - ")</f>
        <v>423</v>
      </c>
      <c r="BD11" s="136">
        <f t="shared" ref="BD11:BD13" si="2">IF(ISNUMBER(BA11/AZ11),BA11/AZ11," - ")</f>
        <v>1.0814717477003941</v>
      </c>
      <c r="BE11" s="137">
        <f t="shared" ref="BE11:BE13" si="3">IF(ISNUMBER(BB11/BA11),BB11/BA11, " - ")</f>
        <v>1.8955042527339003</v>
      </c>
      <c r="BF11" s="137">
        <f t="shared" ref="BF11:BF13" si="4">IF(ISNUMBER(BC11/BA11),BC11/BA11, " - ")</f>
        <v>0.5139732685297691</v>
      </c>
      <c r="BG11" s="209">
        <f t="shared" ref="BG11:BG13" si="5">IF(ISNUMBER((AY11+AZ11)/BA11),(AY11+AZ11)/BA11," - ")</f>
        <v>2.8955042527339003</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12776</v>
      </c>
      <c r="J14" s="197">
        <f t="shared" si="7"/>
        <v>3428</v>
      </c>
      <c r="K14" s="197">
        <f t="shared" si="7"/>
        <v>3322</v>
      </c>
      <c r="L14" s="197">
        <f t="shared" si="7"/>
        <v>12886</v>
      </c>
      <c r="M14" s="197">
        <f t="shared" si="7"/>
        <v>945</v>
      </c>
      <c r="N14" s="197">
        <f t="shared" si="7"/>
        <v>1486</v>
      </c>
      <c r="O14" s="197">
        <f t="shared" si="7"/>
        <v>1744</v>
      </c>
      <c r="P14" s="197">
        <f t="shared" si="7"/>
        <v>944</v>
      </c>
      <c r="Q14" s="197">
        <f t="shared" si="7"/>
        <v>1210</v>
      </c>
      <c r="R14" s="197">
        <f t="shared" si="7"/>
        <v>15520</v>
      </c>
      <c r="S14" s="197">
        <f t="shared" si="7"/>
        <v>13457</v>
      </c>
      <c r="T14" s="197">
        <f t="shared" si="7"/>
        <v>3100</v>
      </c>
      <c r="U14" s="197">
        <f t="shared" si="7"/>
        <v>3129</v>
      </c>
      <c r="V14" s="197">
        <f t="shared" si="7"/>
        <v>13428</v>
      </c>
      <c r="W14" s="197">
        <f t="shared" si="7"/>
        <v>894</v>
      </c>
      <c r="X14" s="197">
        <f t="shared" si="7"/>
        <v>1429</v>
      </c>
      <c r="Y14" s="197">
        <f t="shared" si="7"/>
        <v>382</v>
      </c>
      <c r="Z14" s="197">
        <f t="shared" si="7"/>
        <v>489</v>
      </c>
      <c r="AA14" s="197">
        <f t="shared" si="7"/>
        <v>450</v>
      </c>
      <c r="AB14" s="197">
        <f t="shared" si="7"/>
        <v>422</v>
      </c>
      <c r="AC14" s="197">
        <f t="shared" si="7"/>
        <v>0</v>
      </c>
      <c r="AD14" s="197">
        <f t="shared" si="7"/>
        <v>0</v>
      </c>
      <c r="AE14" s="197">
        <f t="shared" si="7"/>
        <v>0</v>
      </c>
      <c r="AF14" s="197">
        <f>SUBTOTAL(9,AF9:AF13)</f>
        <v>0</v>
      </c>
      <c r="AG14" s="197">
        <f t="shared" ref="AG14:AT14" si="8">SUBTOTAL(9,AG8:AG13)</f>
        <v>509</v>
      </c>
      <c r="AH14" s="197">
        <f t="shared" si="8"/>
        <v>518</v>
      </c>
      <c r="AI14" s="197">
        <f t="shared" si="8"/>
        <v>554</v>
      </c>
      <c r="AJ14" s="197">
        <f t="shared" si="8"/>
        <v>473</v>
      </c>
      <c r="AK14" s="197">
        <f t="shared" si="8"/>
        <v>0</v>
      </c>
      <c r="AL14" s="197">
        <f t="shared" si="8"/>
        <v>0</v>
      </c>
      <c r="AM14" s="197">
        <f t="shared" si="8"/>
        <v>0</v>
      </c>
      <c r="AN14" s="197">
        <f t="shared" si="8"/>
        <v>0</v>
      </c>
      <c r="AO14" s="197">
        <f t="shared" si="8"/>
        <v>13</v>
      </c>
      <c r="AP14" s="197">
        <f t="shared" si="8"/>
        <v>12</v>
      </c>
      <c r="AQ14" s="197">
        <f t="shared" si="8"/>
        <v>12</v>
      </c>
      <c r="AR14" s="197">
        <f t="shared" si="8"/>
        <v>12</v>
      </c>
      <c r="AS14" s="197">
        <f t="shared" si="8"/>
        <v>0</v>
      </c>
      <c r="AT14" s="197">
        <f t="shared" si="8"/>
        <v>0</v>
      </c>
      <c r="AU14" s="217"/>
      <c r="AV14" s="142"/>
      <c r="AW14" s="217"/>
      <c r="AX14" s="142"/>
      <c r="AY14" s="197">
        <f>SUBTOTAL(9,AY8:AY13)</f>
        <v>13966</v>
      </c>
      <c r="AZ14" s="197">
        <f>SUBTOTAL(9,AZ8:AZ13)</f>
        <v>3618</v>
      </c>
      <c r="BA14" s="197">
        <f>SUBTOTAL(9,BA8:BA13)</f>
        <v>3683</v>
      </c>
      <c r="BB14" s="197">
        <f>SUBTOTAL(9,BB8:BB13)</f>
        <v>13901</v>
      </c>
      <c r="BC14" s="197">
        <f>SUBTOTAL(9,BC8:BC13)</f>
        <v>1430</v>
      </c>
      <c r="BD14" s="219">
        <f>IF(ISNUMBER(BA14/AZ14),BA14/AZ14," - ")</f>
        <v>1.0179657269209508</v>
      </c>
      <c r="BE14" s="220">
        <f>IF(ISNUMBER(BB14/BA14),BB14/BA14, " - ")</f>
        <v>3.7743687211512356</v>
      </c>
      <c r="BF14" s="220">
        <f>IF(ISNUMBER(BC14/BA14),BC14/BA14, " - ")</f>
        <v>0.38827043171327724</v>
      </c>
      <c r="BG14" s="221">
        <f>IF(ISNUMBER((AY14+AZ14)/BA14),(AY14+AZ14)/BA14," - ")</f>
        <v>4.7743687211512356</v>
      </c>
      <c r="BH14" s="153">
        <f>SUBTOTAL(9,BH8:BH13)</f>
        <v>13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2842</v>
      </c>
      <c r="J16" s="196">
        <v>6373</v>
      </c>
      <c r="K16" s="196">
        <v>6147</v>
      </c>
      <c r="L16" s="196">
        <v>3175</v>
      </c>
      <c r="M16" s="196">
        <v>488</v>
      </c>
      <c r="N16" s="196">
        <v>4216</v>
      </c>
      <c r="O16" s="194">
        <v>117</v>
      </c>
      <c r="P16" s="196">
        <v>170</v>
      </c>
      <c r="Q16" s="196">
        <v>150</v>
      </c>
      <c r="R16" s="196">
        <v>618</v>
      </c>
      <c r="S16" s="196">
        <v>2852</v>
      </c>
      <c r="T16" s="196">
        <v>6416</v>
      </c>
      <c r="U16" s="196">
        <v>6371</v>
      </c>
      <c r="V16" s="196">
        <v>3037</v>
      </c>
      <c r="W16" s="196">
        <v>517</v>
      </c>
      <c r="X16" s="202">
        <v>4522</v>
      </c>
      <c r="Y16" s="215">
        <v>0</v>
      </c>
      <c r="Z16" s="196">
        <v>0</v>
      </c>
      <c r="AA16" s="196">
        <v>0</v>
      </c>
      <c r="AB16" s="196">
        <v>0</v>
      </c>
      <c r="AC16" s="196">
        <v>9</v>
      </c>
      <c r="AD16" s="196">
        <v>450</v>
      </c>
      <c r="AE16" s="196">
        <v>382</v>
      </c>
      <c r="AF16" s="202">
        <v>77</v>
      </c>
      <c r="AG16" s="215">
        <v>0</v>
      </c>
      <c r="AH16" s="196">
        <v>0</v>
      </c>
      <c r="AI16" s="196">
        <v>0</v>
      </c>
      <c r="AJ16" s="216">
        <v>0</v>
      </c>
      <c r="AK16" s="195">
        <v>0</v>
      </c>
      <c r="AL16" s="196">
        <v>1139</v>
      </c>
      <c r="AM16" s="196">
        <v>1137</v>
      </c>
      <c r="AN16" s="202">
        <v>2</v>
      </c>
      <c r="AO16" s="283">
        <v>8</v>
      </c>
      <c r="AP16" s="168">
        <v>8</v>
      </c>
      <c r="AQ16" s="168">
        <v>8</v>
      </c>
      <c r="AR16" s="168">
        <v>8</v>
      </c>
      <c r="AS16" s="381" t="s">
        <v>702</v>
      </c>
      <c r="AT16" s="216" t="s">
        <v>424</v>
      </c>
      <c r="AU16" s="215"/>
      <c r="AV16" s="216"/>
      <c r="AW16" s="215"/>
      <c r="AX16" s="216"/>
      <c r="AY16" s="138">
        <f t="shared" ref="AY16:BB17" si="10">IF(ISNUMBER(IF(D_I="SI",S16,S16+AK16)),IF(D_I="SI",S16,S16+AK16)," - ")</f>
        <v>2852</v>
      </c>
      <c r="AZ16" s="139">
        <f t="shared" si="10"/>
        <v>6416</v>
      </c>
      <c r="BA16" s="139">
        <f t="shared" si="10"/>
        <v>6371</v>
      </c>
      <c r="BB16" s="139">
        <f t="shared" si="10"/>
        <v>3037</v>
      </c>
      <c r="BC16" s="135">
        <f>IF(ISNUMBER(W16),W16," - ")</f>
        <v>517</v>
      </c>
      <c r="BD16" s="136">
        <f>IF(ISNUMBER(BA16/AZ16),BA16/AZ16," - ")</f>
        <v>0.99298628428927682</v>
      </c>
      <c r="BE16" s="137">
        <f>IF(ISNUMBER(BB16/BA16),BB16/BA16, " - ")</f>
        <v>0.47669125725945694</v>
      </c>
      <c r="BF16" s="137">
        <f>IF(ISNUMBER(BC16/BA16),BC16/BA16, " - ")</f>
        <v>8.1148956207816675E-2</v>
      </c>
      <c r="BG16" s="209">
        <f t="shared" ref="BG16:BG22" si="11">IF(ISNUMBER((AY16+AZ16)/BA16),(AY16+AZ16)/BA16," - ")</f>
        <v>1.4547166849788102</v>
      </c>
      <c r="BH16" s="168">
        <v>8</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348</v>
      </c>
      <c r="J18" s="196">
        <v>501</v>
      </c>
      <c r="K18" s="196">
        <v>497</v>
      </c>
      <c r="L18" s="196">
        <v>352</v>
      </c>
      <c r="M18" s="196">
        <v>59</v>
      </c>
      <c r="N18" s="196">
        <v>152</v>
      </c>
      <c r="O18" s="196">
        <v>0</v>
      </c>
      <c r="P18" s="196">
        <v>0</v>
      </c>
      <c r="Q18" s="196">
        <v>3</v>
      </c>
      <c r="R18" s="196">
        <v>1</v>
      </c>
      <c r="S18" s="196">
        <v>359</v>
      </c>
      <c r="T18" s="196">
        <v>385</v>
      </c>
      <c r="U18" s="196">
        <v>354</v>
      </c>
      <c r="V18" s="196">
        <v>390</v>
      </c>
      <c r="W18" s="196">
        <v>55</v>
      </c>
      <c r="X18" s="202">
        <v>135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2</v>
      </c>
      <c r="AP18" s="168">
        <v>1</v>
      </c>
      <c r="AQ18" s="167">
        <v>1</v>
      </c>
      <c r="AR18" s="168">
        <v>1</v>
      </c>
      <c r="AS18" s="380" t="s">
        <v>1065</v>
      </c>
      <c r="AT18" s="223"/>
      <c r="AU18" s="213"/>
      <c r="AV18" s="223"/>
      <c r="AW18" s="213"/>
      <c r="AX18" s="223"/>
      <c r="AY18" s="138">
        <f t="shared" ref="AY18:BB19" si="15">IF(ISNUMBER(S18),S18," - ")</f>
        <v>359</v>
      </c>
      <c r="AZ18" s="139">
        <f t="shared" si="15"/>
        <v>385</v>
      </c>
      <c r="BA18" s="139">
        <f t="shared" si="15"/>
        <v>354</v>
      </c>
      <c r="BB18" s="139">
        <f t="shared" si="15"/>
        <v>390</v>
      </c>
      <c r="BC18" s="135">
        <f>IF(ISNUMBER(W18),W18," - ")</f>
        <v>55</v>
      </c>
      <c r="BD18" s="136">
        <f>IF(ISNUMBER(BA18/AZ18),BA18/AZ18," - ")</f>
        <v>0.91948051948051945</v>
      </c>
      <c r="BE18" s="137">
        <f>IF(ISNUMBER(BB18/BA18),BB18/BA18, " - ")</f>
        <v>1.1016949152542372</v>
      </c>
      <c r="BF18" s="137">
        <f>IF(ISNUMBER(BC18/BA18),BC18/BA18, " - ")</f>
        <v>0.15536723163841809</v>
      </c>
      <c r="BG18" s="209">
        <f>IF(ISNUMBER((AY18+AZ18)/BA18),(AY18+AZ18)/BA18," - ")</f>
        <v>2.1016949152542375</v>
      </c>
      <c r="BH18" s="168">
        <v>2</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3190</v>
      </c>
      <c r="J23" s="197">
        <f t="shared" si="21"/>
        <v>6874</v>
      </c>
      <c r="K23" s="197">
        <f t="shared" si="21"/>
        <v>6644</v>
      </c>
      <c r="L23" s="197">
        <f t="shared" si="21"/>
        <v>3527</v>
      </c>
      <c r="M23" s="197">
        <f t="shared" si="21"/>
        <v>547</v>
      </c>
      <c r="N23" s="197">
        <f t="shared" si="21"/>
        <v>4368</v>
      </c>
      <c r="O23" s="197">
        <f t="shared" si="21"/>
        <v>117</v>
      </c>
      <c r="P23" s="197">
        <f t="shared" si="21"/>
        <v>170</v>
      </c>
      <c r="Q23" s="197">
        <f t="shared" si="21"/>
        <v>153</v>
      </c>
      <c r="R23" s="197">
        <f t="shared" si="21"/>
        <v>619</v>
      </c>
      <c r="S23" s="197">
        <f t="shared" si="21"/>
        <v>3211</v>
      </c>
      <c r="T23" s="197">
        <f t="shared" si="21"/>
        <v>6801</v>
      </c>
      <c r="U23" s="197">
        <f t="shared" si="21"/>
        <v>6725</v>
      </c>
      <c r="V23" s="197">
        <f t="shared" si="21"/>
        <v>3427</v>
      </c>
      <c r="W23" s="197">
        <f t="shared" si="21"/>
        <v>572</v>
      </c>
      <c r="X23" s="197">
        <f t="shared" si="21"/>
        <v>4657</v>
      </c>
      <c r="Y23" s="197">
        <f t="shared" si="21"/>
        <v>0</v>
      </c>
      <c r="Z23" s="197">
        <f t="shared" si="21"/>
        <v>0</v>
      </c>
      <c r="AA23" s="197">
        <f t="shared" si="21"/>
        <v>0</v>
      </c>
      <c r="AB23" s="197">
        <f t="shared" si="21"/>
        <v>0</v>
      </c>
      <c r="AC23" s="197">
        <f t="shared" si="21"/>
        <v>9</v>
      </c>
      <c r="AD23" s="197">
        <f t="shared" si="21"/>
        <v>450</v>
      </c>
      <c r="AE23" s="197">
        <f t="shared" si="21"/>
        <v>382</v>
      </c>
      <c r="AF23" s="197">
        <f t="shared" si="21"/>
        <v>77</v>
      </c>
      <c r="AG23" s="197">
        <f t="shared" si="21"/>
        <v>0</v>
      </c>
      <c r="AH23" s="197">
        <f t="shared" si="21"/>
        <v>0</v>
      </c>
      <c r="AI23" s="197">
        <f t="shared" si="21"/>
        <v>0</v>
      </c>
      <c r="AJ23" s="197">
        <f t="shared" si="21"/>
        <v>0</v>
      </c>
      <c r="AK23" s="197">
        <f t="shared" si="21"/>
        <v>0</v>
      </c>
      <c r="AL23" s="197">
        <f t="shared" si="21"/>
        <v>1139</v>
      </c>
      <c r="AM23" s="197">
        <f t="shared" si="21"/>
        <v>1137</v>
      </c>
      <c r="AN23" s="197">
        <f t="shared" si="21"/>
        <v>2</v>
      </c>
      <c r="AO23" s="197">
        <f t="shared" si="21"/>
        <v>10</v>
      </c>
      <c r="AP23" s="197">
        <f t="shared" si="21"/>
        <v>9</v>
      </c>
      <c r="AQ23" s="197">
        <f t="shared" si="21"/>
        <v>9</v>
      </c>
      <c r="AR23" s="197">
        <f t="shared" si="21"/>
        <v>9</v>
      </c>
      <c r="AS23" s="197">
        <f t="shared" si="21"/>
        <v>0</v>
      </c>
      <c r="AT23" s="197">
        <f t="shared" si="21"/>
        <v>0</v>
      </c>
      <c r="AU23" s="217"/>
      <c r="AV23" s="142"/>
      <c r="AW23" s="217"/>
      <c r="AX23" s="142"/>
      <c r="AY23" s="197">
        <f>SUBTOTAL(9,AY15:AY22)</f>
        <v>3211</v>
      </c>
      <c r="AZ23" s="197">
        <f>SUBTOTAL(9,AZ15:AZ22)</f>
        <v>6801</v>
      </c>
      <c r="BA23" s="197">
        <f>SUBTOTAL(9,BA15:BA22)</f>
        <v>6725</v>
      </c>
      <c r="BB23" s="197">
        <f>SUBTOTAL(9,BB15:BB22)</f>
        <v>3427</v>
      </c>
      <c r="BC23" s="197">
        <f>SUBTOTAL(9,BC15:BC22)</f>
        <v>572</v>
      </c>
      <c r="BD23" s="219">
        <f>IF(ISNUMBER(BA23/AZ23),BA23/AZ23," - ")</f>
        <v>0.98882517276871051</v>
      </c>
      <c r="BE23" s="220">
        <f>IF(ISNUMBER(BB23/BA23),BB23/BA23, " - ")</f>
        <v>0.5095910780669145</v>
      </c>
      <c r="BF23" s="220">
        <f>IF(ISNUMBER(BC23/BA23),BC23/BA23, " - ")</f>
        <v>8.5055762081784392E-2</v>
      </c>
      <c r="BG23" s="221">
        <f>IF(ISNUMBER((AY23+AZ23)/BA23),(AY23+AZ23)/BA23," - ")</f>
        <v>1.4887732342007436</v>
      </c>
      <c r="BH23" s="197">
        <f>SUBTOTAL(9,BH15:BH22)</f>
        <v>10</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15966</v>
      </c>
      <c r="J31" s="144">
        <f t="shared" si="36"/>
        <v>10302</v>
      </c>
      <c r="K31" s="144">
        <f t="shared" si="36"/>
        <v>9966</v>
      </c>
      <c r="L31" s="144">
        <f t="shared" si="36"/>
        <v>16413</v>
      </c>
      <c r="M31" s="144">
        <f t="shared" si="36"/>
        <v>1492</v>
      </c>
      <c r="N31" s="144">
        <f t="shared" si="36"/>
        <v>5854</v>
      </c>
      <c r="O31" s="144">
        <f t="shared" si="36"/>
        <v>1861</v>
      </c>
      <c r="P31" s="144">
        <f t="shared" si="36"/>
        <v>1114</v>
      </c>
      <c r="Q31" s="144">
        <f t="shared" si="36"/>
        <v>1363</v>
      </c>
      <c r="R31" s="144">
        <f t="shared" si="36"/>
        <v>16139</v>
      </c>
      <c r="S31" s="144">
        <f t="shared" si="36"/>
        <v>16668</v>
      </c>
      <c r="T31" s="144">
        <f t="shared" si="36"/>
        <v>9901</v>
      </c>
      <c r="U31" s="144">
        <f t="shared" si="36"/>
        <v>9854</v>
      </c>
      <c r="V31" s="144">
        <f t="shared" si="36"/>
        <v>16855</v>
      </c>
      <c r="W31" s="144">
        <f t="shared" si="36"/>
        <v>1466</v>
      </c>
      <c r="X31" s="144">
        <f t="shared" si="36"/>
        <v>6086</v>
      </c>
      <c r="Y31" s="144">
        <f t="shared" si="36"/>
        <v>382</v>
      </c>
      <c r="Z31" s="144">
        <f t="shared" si="36"/>
        <v>489</v>
      </c>
      <c r="AA31" s="144">
        <f t="shared" si="36"/>
        <v>450</v>
      </c>
      <c r="AB31" s="144">
        <f t="shared" si="36"/>
        <v>422</v>
      </c>
      <c r="AC31" s="144">
        <f t="shared" si="36"/>
        <v>9</v>
      </c>
      <c r="AD31" s="144">
        <f t="shared" si="36"/>
        <v>450</v>
      </c>
      <c r="AE31" s="144">
        <f t="shared" si="36"/>
        <v>382</v>
      </c>
      <c r="AF31" s="144">
        <f t="shared" si="36"/>
        <v>77</v>
      </c>
      <c r="AG31" s="144">
        <f t="shared" si="36"/>
        <v>509</v>
      </c>
      <c r="AH31" s="144">
        <f t="shared" si="36"/>
        <v>518</v>
      </c>
      <c r="AI31" s="144">
        <f t="shared" si="36"/>
        <v>554</v>
      </c>
      <c r="AJ31" s="144">
        <f t="shared" si="36"/>
        <v>473</v>
      </c>
      <c r="AK31" s="144">
        <f t="shared" si="36"/>
        <v>0</v>
      </c>
      <c r="AL31" s="144">
        <f t="shared" si="36"/>
        <v>1139</v>
      </c>
      <c r="AM31" s="144">
        <f t="shared" si="36"/>
        <v>1137</v>
      </c>
      <c r="AN31" s="224">
        <f t="shared" si="36"/>
        <v>2</v>
      </c>
      <c r="AO31" s="225">
        <v>21</v>
      </c>
      <c r="AP31" s="225">
        <v>20</v>
      </c>
      <c r="AQ31" s="225">
        <v>20</v>
      </c>
      <c r="AR31" s="225">
        <v>20</v>
      </c>
      <c r="AS31" s="166">
        <f t="shared" si="36"/>
        <v>0</v>
      </c>
      <c r="AT31" s="166">
        <f t="shared" si="36"/>
        <v>0</v>
      </c>
      <c r="AU31" s="225"/>
      <c r="AV31" s="226"/>
      <c r="AW31" s="225"/>
      <c r="AX31" s="226"/>
      <c r="AY31" s="143">
        <f>SUBTOTAL(9,AY9:AY30)</f>
        <v>17177</v>
      </c>
      <c r="AZ31" s="144">
        <f>SUBTOTAL(9,AZ9:AZ30)</f>
        <v>10419</v>
      </c>
      <c r="BA31" s="144">
        <f>SUBTOTAL(9,BA9:BA30)</f>
        <v>10408</v>
      </c>
      <c r="BB31" s="144">
        <f>SUBTOTAL(9,BB9:BB30)</f>
        <v>17328</v>
      </c>
      <c r="BC31" s="145">
        <f>SUBTOTAL(9,BC9:BC30)</f>
        <v>2002</v>
      </c>
      <c r="BD31" s="227">
        <f>IF(ISNUMBER(BA31/AZ31),BA31/AZ31," - ")</f>
        <v>0.99894423649102604</v>
      </c>
      <c r="BE31" s="224">
        <f>IF(ISNUMBER(BB31/BA31),BB31/BA31, " - ")</f>
        <v>1.6648731744811682</v>
      </c>
      <c r="BF31" s="224">
        <f>IF(ISNUMBER(BC31/BA31),BC31/BA31, " - ")</f>
        <v>0.19235203689469638</v>
      </c>
      <c r="BG31" s="145">
        <f>IF(ISNUMBER((AY31+AZ31)/BA31),(AY31+AZ31)/BA31," - ")</f>
        <v>2.6514219830899308</v>
      </c>
      <c r="BH31" s="225">
        <f>SUBTOTAL(9,BH9:BH30)</f>
        <v>23</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0wwXozQfxswvRUKoSgP+wXjHWcSdDB0bI919LAUyFyEwPw+7nCilmfJUK4Tvv2U10svbE81robdB1+dBb4DHw==" saltValue="DDiFcBQHzrXv/a7peHv2r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xGPxKbMnddf3XSzSbAZqZ0ydOxLj3GDDYPy2X32TwSNiX1SJuNOrW1Iirm76UF0/UINpo594szWYhHevzVQIg==" saltValue="dyGumfoW8AcsMRdcKPplk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CORDOBA  Resumenes por Partidos Judiciales  CORDOBA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9</v>
      </c>
      <c r="B9" s="745" t="s">
        <v>321</v>
      </c>
      <c r="C9" s="765" t="str">
        <f>Datos!A9</f>
        <v xml:space="preserve">Jdos. 1ª Instancia   </v>
      </c>
      <c r="D9" s="593"/>
      <c r="E9" s="764">
        <f>IF(ISNUMBER(Datos!AQ9),Datos!AQ9," - ")</f>
        <v>9</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252</v>
      </c>
      <c r="O9" s="549"/>
      <c r="P9" s="549"/>
      <c r="Q9" s="547">
        <f>IF(ISNUMBER(Datos!P9),Datos!P9,0)</f>
        <v>852</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1047</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273</v>
      </c>
      <c r="AI9" s="549" t="str">
        <f>IF(ISNUMBER(Datos!CD9),Datos!CD9,"-")</f>
        <v>-</v>
      </c>
      <c r="AJ9" s="549" t="str">
        <f>IF(ISNUMBER(Datos!EN9),Datos!EN9," - ")</f>
        <v xml:space="preserve"> - </v>
      </c>
      <c r="AK9" s="549"/>
      <c r="AL9" s="550"/>
      <c r="AM9" s="766">
        <f>IF(ISNUMBER(Datos!R9),Datos!R9," - ")</f>
        <v>14395</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620</v>
      </c>
      <c r="BD9" s="693">
        <f>IF(ISNUMBER(Datos!N9),Datos!N9," - ")</f>
        <v>1126</v>
      </c>
      <c r="BE9" s="693" t="str">
        <f>IF(ISNUMBER(Datos!BW9),Datos!BW9," - ")</f>
        <v xml:space="preserve"> - </v>
      </c>
      <c r="BF9" s="762" t="str">
        <f>IF(ISNUMBER(Datos!BX9),Datos!BX9," - ")</f>
        <v xml:space="preserve"> - </v>
      </c>
      <c r="BG9" s="763">
        <f>IF(ISNUMBER(IF(J_V="SI",Datos!K9/Datos!J9,(Datos!K9+Datos!AA9)/(Datos!J9+Datos!Z9))),IF(J_V="SI",Datos!K9/Datos!J9,(Datos!K9+Datos!AA9)/(Datos!J9+Datos!Z9))," - ")</f>
        <v>0.93590561224489799</v>
      </c>
      <c r="BH9" s="764">
        <f>IF(ISNUMBER(((IF(J_V="SI",Datos!L9/Datos!K9,(Datos!L9+Datos!AB9)/(Datos!K9+Datos!AA9)))*11)/factor_trimestre),((IF(J_V="SI",Datos!L9/Datos!K9,(Datos!L9+Datos!AB9)/(Datos!K9+Datos!AA9)))*11)/factor_trimestre," - ")</f>
        <v>7.9747870528109024</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-1.3365318711446196E-2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2</v>
      </c>
      <c r="B10" s="746" t="s">
        <v>321</v>
      </c>
      <c r="C10" s="747" t="str">
        <f>Datos!A10</f>
        <v>Jdos. Violencia contra la mujer</v>
      </c>
      <c r="D10" s="601"/>
      <c r="E10" s="764">
        <f>IF(ISNUMBER(Datos!AQ10),Datos!AQ10," - ")</f>
        <v>1</v>
      </c>
      <c r="F10" s="552">
        <f>IF(ISNUMBER(Datos!L10+Datos!K10-Datos!J10),Datos!L10+Datos!K10-Datos!J10," - ")</f>
        <v>195</v>
      </c>
      <c r="G10" s="543">
        <f>IF(ISNUMBER(Datos!I10),Datos!I10," - ")</f>
        <v>195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17</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67</v>
      </c>
      <c r="AC10" s="547">
        <f>IF(ISNUMBER(Datos!Q10),Datos!Q10," - ")</f>
        <v>5</v>
      </c>
      <c r="AD10" s="549"/>
      <c r="AE10" s="563"/>
      <c r="AF10" s="551">
        <f>IF(ISNUMBER(Datos!L10),Datos!L10,"-")</f>
        <v>191</v>
      </c>
      <c r="AG10" s="549"/>
      <c r="AH10" s="549"/>
      <c r="AI10" s="549"/>
      <c r="AJ10" s="549"/>
      <c r="AK10" s="549"/>
      <c r="AL10" s="550"/>
      <c r="AM10" s="766">
        <f>IF(ISNUMBER(Datos!R10),Datos!R10," - ")</f>
        <v>176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12</v>
      </c>
      <c r="BD10" s="693">
        <f>IF(ISNUMBER(Datos!N10),Datos!N10," - ")</f>
        <v>12</v>
      </c>
      <c r="BE10" s="693" t="str">
        <f>IF(ISNUMBER(Datos!BW10),Datos!BW10," - ")</f>
        <v xml:space="preserve"> - </v>
      </c>
      <c r="BF10" s="762" t="str">
        <f>IF(ISNUMBER(Datos!BX10),Datos!BX10," - ")</f>
        <v xml:space="preserve"> - </v>
      </c>
      <c r="BG10" s="763">
        <f>IF(ISNUMBER(Datos!K10/Datos!J10),Datos!K10/Datos!J10," - ")</f>
        <v>1.0634920634920635</v>
      </c>
      <c r="BH10" s="764">
        <f>IF(ISNUMBER(((Datos!L10/Datos!K10)*11)/factor_trimestre),((Datos!L10/Datos!K10)*11)/factor_trimestre," - ")</f>
        <v>5.7014925373134329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7.3170731707317069E-2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2</v>
      </c>
      <c r="B11" s="746" t="s">
        <v>321</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237</v>
      </c>
      <c r="O11" s="549"/>
      <c r="P11" s="549"/>
      <c r="Q11" s="547">
        <f>IF(ISNUMBER(Datos!P11),Datos!P11,0)</f>
        <v>75</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158</v>
      </c>
      <c r="AD11" s="549"/>
      <c r="AE11" s="563"/>
      <c r="AF11" s="551" t="str">
        <f>IF(ISNUMBER(IF(J_V="SI",Datos!L11,Datos!L11+Datos!AB11)-IF(Monitorios="SI",Datos!CD11,0)),
                          IF(J_V="SI",Datos!L11,Datos!L11+Datos!AB11)-IF(Monitorios="SI",Datos!CD11,0),
                          " - ")</f>
        <v xml:space="preserve"> - </v>
      </c>
      <c r="AG11" s="549"/>
      <c r="AH11" s="549">
        <f>IF(ISNUMBER(Datos!AB11),Datos!AB11,"-")</f>
        <v>149</v>
      </c>
      <c r="AI11" s="549"/>
      <c r="AJ11" s="549"/>
      <c r="AK11" s="549"/>
      <c r="AL11" s="550"/>
      <c r="AM11" s="766">
        <f>IF(ISNUMBER(Datos!R11),Datos!R11," - ")</f>
        <v>949</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313</v>
      </c>
      <c r="BD11" s="693">
        <f>IF(ISNUMBER(Datos!N11),Datos!N11," - ")</f>
        <v>348</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1.0724233983286908</v>
      </c>
      <c r="BH11" s="764">
        <f>IF(ISNUMBER(((IF(J_V="SI",Datos!L11/Datos!K11,(Datos!L11+Datos!AB11)/(Datos!K11+Datos!AA11)))*11)/factor_trimestre),((IF(J_V="SI",Datos!L11/Datos!K11,(Datos!L11+Datos!AB11)/(Datos!K11+Datos!AA11)))*11)/factor_trimestre," - ")</f>
        <v>3.6727272727272724</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-8.0426356589147291E-2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12</v>
      </c>
      <c r="F14" s="1197">
        <f t="shared" si="1"/>
        <v>195</v>
      </c>
      <c r="G14" s="1197">
        <f t="shared" si="1"/>
        <v>195</v>
      </c>
      <c r="H14" s="1198">
        <f t="shared" si="1"/>
        <v>0</v>
      </c>
      <c r="I14" s="1197">
        <f t="shared" si="1"/>
        <v>0</v>
      </c>
      <c r="J14" s="1164">
        <f t="shared" si="1"/>
        <v>0</v>
      </c>
      <c r="K14" s="1164">
        <f t="shared" si="1"/>
        <v>0</v>
      </c>
      <c r="L14" s="1198">
        <f t="shared" si="1"/>
        <v>0</v>
      </c>
      <c r="M14" s="1198">
        <f t="shared" si="1"/>
        <v>0</v>
      </c>
      <c r="N14" s="1198">
        <f t="shared" si="1"/>
        <v>489</v>
      </c>
      <c r="O14" s="1199">
        <f t="shared" si="1"/>
        <v>0</v>
      </c>
      <c r="P14" s="1199">
        <f t="shared" si="1"/>
        <v>0</v>
      </c>
      <c r="Q14" s="1198">
        <f t="shared" si="1"/>
        <v>944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67</v>
      </c>
      <c r="AC14" s="1198">
        <f t="shared" si="2"/>
        <v>1210</v>
      </c>
      <c r="AD14" s="1198">
        <f t="shared" si="2"/>
        <v>0</v>
      </c>
      <c r="AE14" s="1198">
        <f t="shared" si="2"/>
        <v>0</v>
      </c>
      <c r="AF14" s="1198">
        <f t="shared" si="2"/>
        <v>191</v>
      </c>
      <c r="AG14" s="1198">
        <f t="shared" si="2"/>
        <v>0</v>
      </c>
      <c r="AH14" s="1198">
        <f t="shared" si="2"/>
        <v>422</v>
      </c>
      <c r="AI14" s="1198">
        <f t="shared" si="2"/>
        <v>0</v>
      </c>
      <c r="AJ14" s="1198">
        <f t="shared" si="2"/>
        <v>0</v>
      </c>
      <c r="AK14" s="1198">
        <f t="shared" si="2"/>
        <v>0</v>
      </c>
      <c r="AL14" s="1198">
        <f t="shared" si="2"/>
        <v>0</v>
      </c>
      <c r="AM14" s="1198">
        <f t="shared" si="2"/>
        <v>15520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945</v>
      </c>
      <c r="BD14" s="1198">
        <f t="shared" si="2"/>
        <v>1486</v>
      </c>
      <c r="BE14" s="1198">
        <f t="shared" si="2"/>
        <v>0</v>
      </c>
      <c r="BF14" s="1198">
        <f t="shared" si="2"/>
        <v>0</v>
      </c>
      <c r="BG14" s="1198">
        <f>IF(ISNUMBER(Datos!K14/Datos!J14),Datos!K14/Datos!J14," - ")</f>
        <v>0.96907817969661614</v>
      </c>
      <c r="BH14" s="1202">
        <f>IF(ISNUMBER(((Datos!L14/Datos!K14)*11)/factor_trimestre),((Datos!L14/Datos!K14)*11)/factor_trimestre," - ")</f>
        <v>7.7579771222155332</v>
      </c>
      <c r="BI14" s="1198">
        <f>IF(ISNUMBER('Resol  Asuntos'!D14/NºAsuntos!G14),'Resol  Asuntos'!D14/NºAsuntos!G14," - ")</f>
        <v>0.25053022269353126</v>
      </c>
      <c r="BJ14" s="1198" t="str">
        <f>IF(ISNUMBER(Datos!CI14/Datos!CJ14),Datos!CI14/Datos!CJ14," - ")</f>
        <v xml:space="preserve"> - </v>
      </c>
      <c r="BK14" s="1198">
        <f>SUBTOTAL(9,BK8:BK13)</f>
        <v>0</v>
      </c>
      <c r="BL14" s="1198">
        <f>IF(ISNUMBER((I14-AB14+L14)/(F14)),(I14-AB14+L14)/(F14)," - ")</f>
        <v>-0.34358974358974359</v>
      </c>
      <c r="BM14" s="1203">
        <f>SUBTOTAL(9,BM9:BM13)</f>
        <v>-2.0620943593276417E-2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8</v>
      </c>
      <c r="B16" s="737" t="s">
        <v>511</v>
      </c>
      <c r="C16" s="749" t="str">
        <f>Datos!A16</f>
        <v xml:space="preserve">Jdos. Instrucción                               </v>
      </c>
      <c r="D16" s="750"/>
      <c r="E16" s="1555">
        <f>IF(ISNUMBER(Datos!AQ16),Datos!AQ16," - ")</f>
        <v>8</v>
      </c>
      <c r="F16" s="740">
        <f>IF(ISNUMBER(AF16+AB16-Datos!J16-L16),AF16+AB16-Datos!J16-L16," - ")</f>
        <v>2949</v>
      </c>
      <c r="G16" s="743">
        <f>IF(ISNUMBER(IF(D_I="SI",Datos!I16,Datos!I16+Datos!AC16)),IF(D_I="SI",Datos!I16,Datos!I16+Datos!AC16)," - ")</f>
        <v>2842</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170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6147</v>
      </c>
      <c r="AC16" s="240">
        <f>IF(ISNUMBER(Datos!Q16),Datos!Q16," - ")</f>
        <v>150</v>
      </c>
      <c r="AD16" s="374"/>
      <c r="AE16" s="562"/>
      <c r="AF16" s="741">
        <f>IF(ISNUMBER(IF(D_I="SI",Datos!L16,Datos!L16+Datos!AF16)),IF(D_I="SI",Datos!L16,Datos!L16+Datos!AF16)," - ")</f>
        <v>3175</v>
      </c>
      <c r="AG16" s="374"/>
      <c r="AH16" s="374"/>
      <c r="AI16" s="374"/>
      <c r="AJ16" s="549"/>
      <c r="AK16" s="374"/>
      <c r="AL16" s="545"/>
      <c r="AM16" s="375">
        <f>IF(ISNUMBER(Datos!R16),Datos!R16," - ")</f>
        <v>618</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488</v>
      </c>
      <c r="BD16" s="243">
        <f>IF(ISNUMBER(Datos!N16),Datos!N16," - ")</f>
        <v>4216</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0.96453789424133063</v>
      </c>
      <c r="BH16" s="764">
        <f>IF(ISNUMBER(((IF(D_I="SI",Datos!L16/Datos!K16,(Datos!L16+Datos!AF16)/(Datos!K16+Datos!AE16)))*11)/factor_trimestre),((IF(D_I="SI",Datos!L16/Datos!K16,(Datos!L16+Datos!AF16)/(Datos!K16+Datos!AE16)))*11)/factor_trimestre," - ")</f>
        <v>1.0330242394664064</v>
      </c>
      <c r="BI16" s="266">
        <f>IF(ISNUMBER('Resol  Asuntos'!D16/NºAsuntos!G16),'Resol  Asuntos'!D16/NºAsuntos!G16," - ")</f>
        <v>7.938831950544982E-2</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2</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348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497</v>
      </c>
      <c r="AC18" s="547">
        <f>IF(ISNUMBER(Datos!Q18),Datos!Q18," - ")</f>
        <v>3</v>
      </c>
      <c r="AD18" s="549"/>
      <c r="AE18" s="562"/>
      <c r="AF18" s="551">
        <f>IF(ISNUMBER(Datos!L18),Datos!L18,"-")</f>
        <v>352</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59</v>
      </c>
      <c r="BD18" s="693">
        <f>IF(ISNUMBER(Datos!N18),Datos!N18," - ")</f>
        <v>152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0.99201596806387227</v>
      </c>
      <c r="BH18" s="764">
        <f>IF(ISNUMBER(((IF(D_I="SI",Datos!L18/Datos!K18,(Datos!L18+Datos!AF18)/(Datos!K18+Datos!AE18)))*11)/factor_trimestre),((IF(D_I="SI",Datos!L18/Datos!K18,(Datos!L18+Datos!AF18)/(Datos!K18+Datos!AE18)))*11)/factor_trimestre," - ")</f>
        <v>1.4164989939637826</v>
      </c>
      <c r="BI18" s="763">
        <f>IF(ISNUMBER('Resol  Asuntos'!D18/NºAsuntos!G18),'Resol  Asuntos'!D18/NºAsuntos!G18," - ")</f>
        <v>0.11871227364185111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9</v>
      </c>
      <c r="F23" s="1197">
        <f>SUBTOTAL(9,F16:F22)</f>
        <v>2949</v>
      </c>
      <c r="G23" s="1197">
        <f>SUBTOTAL(9,G16:G22)</f>
        <v>3190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170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6644</v>
      </c>
      <c r="AC23" s="1198">
        <f t="shared" si="5"/>
        <v>153</v>
      </c>
      <c r="AD23" s="1198">
        <f t="shared" si="5"/>
        <v>0</v>
      </c>
      <c r="AE23" s="1198">
        <f t="shared" si="5"/>
        <v>0</v>
      </c>
      <c r="AF23" s="1198">
        <f t="shared" si="5"/>
        <v>3527</v>
      </c>
      <c r="AG23" s="1198">
        <f t="shared" si="5"/>
        <v>0</v>
      </c>
      <c r="AH23" s="1198">
        <f t="shared" si="5"/>
        <v>0</v>
      </c>
      <c r="AI23" s="1198">
        <f t="shared" si="5"/>
        <v>0</v>
      </c>
      <c r="AJ23" s="1198">
        <f t="shared" si="5"/>
        <v>0</v>
      </c>
      <c r="AK23" s="1198">
        <f t="shared" si="5"/>
        <v>0</v>
      </c>
      <c r="AL23" s="1198">
        <f t="shared" si="5"/>
        <v>0</v>
      </c>
      <c r="AM23" s="1198">
        <f t="shared" si="5"/>
        <v>619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547</v>
      </c>
      <c r="BD23" s="1198">
        <f t="shared" si="5"/>
        <v>4368</v>
      </c>
      <c r="BE23" s="1198">
        <f t="shared" si="5"/>
        <v>0</v>
      </c>
      <c r="BF23" s="1198">
        <f t="shared" si="5"/>
        <v>0</v>
      </c>
      <c r="BG23" s="1198">
        <f>IF(ISNUMBER(Datos!K23/Datos!J23),Datos!K23/Datos!J23," - ")</f>
        <v>0.96654058772185047</v>
      </c>
      <c r="BH23" s="1202">
        <f>IF(ISNUMBER(((Datos!L23/Datos!K23)*11)/factor_trimestre),((Datos!L23/Datos!K23)*11)/factor_trimestre," - ")</f>
        <v>1.0617098133654426</v>
      </c>
      <c r="BI23" s="1198">
        <f>SUBTOTAL(9,BI16:BI22)</f>
        <v>0.19810059314730094</v>
      </c>
      <c r="BJ23" s="1198">
        <f>SUBTOTAL(9,BJ16:BJ22)</f>
        <v>0</v>
      </c>
      <c r="BK23" s="1198">
        <f>SUBTOTAL(9,BK16:BK22)</f>
        <v>0</v>
      </c>
      <c r="BL23" s="1198">
        <f>IF(ISNUMBER((I23-AB23+L23)/(F23)),(I23-AB23+L23)/(F23)," - ")</f>
        <v>-2.2529671074940656</v>
      </c>
      <c r="BM23" s="1205">
        <f>IF(ISNUMBER((Datos!P23-Datos!Q23)/(Datos!R23-Datos!P23+Datos!Q23)),(Datos!P23-Datos!Q23)/(Datos!R23-Datos!P23+Datos!Q23)," - ")</f>
        <v>2.823920265780731E-2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21</v>
      </c>
      <c r="F31" s="1117">
        <f t="shared" si="18"/>
        <v>3144</v>
      </c>
      <c r="G31" s="1117">
        <f t="shared" si="18"/>
        <v>3385</v>
      </c>
      <c r="H31" s="1119">
        <f t="shared" si="18"/>
        <v>0</v>
      </c>
      <c r="I31" s="1117">
        <f t="shared" si="18"/>
        <v>0</v>
      </c>
      <c r="J31" s="1119">
        <f t="shared" si="18"/>
        <v>0</v>
      </c>
      <c r="K31" s="1119">
        <f t="shared" si="18"/>
        <v>0</v>
      </c>
      <c r="L31" s="1180">
        <f t="shared" si="18"/>
        <v>0</v>
      </c>
      <c r="M31" s="1180">
        <f t="shared" si="18"/>
        <v>0</v>
      </c>
      <c r="N31" s="1180">
        <f t="shared" si="18"/>
        <v>489</v>
      </c>
      <c r="O31" s="1180">
        <f t="shared" si="18"/>
        <v>0</v>
      </c>
      <c r="P31" s="1180">
        <f t="shared" si="18"/>
        <v>0</v>
      </c>
      <c r="Q31" s="1119">
        <f t="shared" si="18"/>
        <v>1114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6711</v>
      </c>
      <c r="AC31" s="1118">
        <f t="shared" si="19"/>
        <v>1363</v>
      </c>
      <c r="AD31" s="1118">
        <f t="shared" si="19"/>
        <v>0</v>
      </c>
      <c r="AE31" s="1118">
        <f t="shared" si="19"/>
        <v>0</v>
      </c>
      <c r="AF31" s="1125">
        <f t="shared" si="19"/>
        <v>3718</v>
      </c>
      <c r="AG31" s="1125">
        <f t="shared" si="19"/>
        <v>0</v>
      </c>
      <c r="AH31" s="1125">
        <f t="shared" si="19"/>
        <v>422</v>
      </c>
      <c r="AI31" s="1125">
        <f t="shared" si="19"/>
        <v>0</v>
      </c>
      <c r="AJ31" s="1118">
        <f t="shared" si="19"/>
        <v>0</v>
      </c>
      <c r="AK31" s="1125">
        <f t="shared" si="19"/>
        <v>0</v>
      </c>
      <c r="AL31" s="1125">
        <f t="shared" si="19"/>
        <v>0</v>
      </c>
      <c r="AM31" s="1125">
        <f t="shared" si="19"/>
        <v>16139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1492</v>
      </c>
      <c r="BD31" s="1117">
        <f t="shared" si="19"/>
        <v>5854</v>
      </c>
      <c r="BE31" s="1117">
        <f t="shared" si="19"/>
        <v>0</v>
      </c>
      <c r="BF31" s="1127">
        <f t="shared" si="19"/>
        <v>0</v>
      </c>
      <c r="BG31" s="1223">
        <f>IF(ISNUMBER(Datos!K31/Datos!J31),Datos!K31/Datos!J31," - ")</f>
        <v>0.96738497379149679</v>
      </c>
      <c r="BH31" s="1223">
        <f>IF(ISNUMBER(((Datos!L31/Datos!K31)*11)/factor_trimestre),((Datos!L31/Datos!K31)*11)/factor_trimestre," - ")</f>
        <v>3.2937989163154726</v>
      </c>
      <c r="BI31" s="1103">
        <f>IF(ISNUMBER(Datos!J31/Datos!I31),Datos!J31/Datos!I31," - ")</f>
        <v>0.64524614806463731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-2.1345419847328246</v>
      </c>
      <c r="BM31" s="1188">
        <f>IF(ISNUMBER((Datos!P31-Datos!Q31+R31)/(Datos!R31-Datos!P31+Datos!Q31-R31)),(Datos!P31-Datos!Q31+R31)/(Datos!R31-Datos!P31+Datos!Q31-R31)," - ")</f>
        <v>-1.5194044422748352E-2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967.14285714285711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3.966231732015514</v>
      </c>
      <c r="F33" s="673">
        <f>IF(ISNUMBER(STDEV(F8:F30)),STDEV(F8:F30),"-")</f>
        <v>1475.0883363378616</v>
      </c>
      <c r="G33" s="674">
        <f>IF(ISNUMBER(STDEV(G8:G30)),STDEV(G8:G30),"-")</f>
        <v>1408.4661194092705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3067.2627785015343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340.40604838600882</v>
      </c>
      <c r="BD33" s="673"/>
      <c r="BE33" s="673">
        <f>IF(ISNUMBER(STDEV(BE8:BE30)),STDEV(BE8:BE30),"-")</f>
        <v>0</v>
      </c>
      <c r="BF33" s="678">
        <f>IF(ISNUMBER(STDEV(BF8:BF30)),STDEV(BF8:BF30),"-")</f>
        <v>0</v>
      </c>
      <c r="BG33" s="1052">
        <f>IF(ISNUMBER(STDEV(BG8:BG30)),STDEV(BG8:BG30),"-")</f>
        <v>5.2593203967651179E-2</v>
      </c>
      <c r="BH33" s="1058">
        <f>IF(ISNUMBER(STDEV(BH8:BH30)),STDEV(BH8:BH30),"-")</f>
        <v>3.0816630086073049</v>
      </c>
      <c r="BI33" s="273">
        <f>IF(ISNUMBER(STDEV(BI8:BI30)),STDEV(BI8:BI30),"-")</f>
        <v>7.7112402444647801E-2</v>
      </c>
      <c r="BJ33" s="244" t="str">
        <f>IF(ISNUMBER(BL33/BM33),BL33/BM33," - ")</f>
        <v xml:space="preserve"> - </v>
      </c>
      <c r="BK33" s="709"/>
      <c r="BL33" s="681">
        <f>IF(ISNUMBER(STDEV(BL8:BL30)),STDEV(BL8:BL30),"-")</f>
        <v>1.3501336818608403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2KLfepv26sxP1MVH9unYoX+1Pr5mdtE0uRmfAzk/LxIebZGfHemNvT10d16pZTBqv1oU4Zz0zKdEcgIGo7JPdA==" saltValue="/SzQfraa446INbcqh7uME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CORDOBA  Resumenes por Partidos Judiciales  CORDOBA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9</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852</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1047</v>
      </c>
      <c r="AA9" s="551" t="str">
        <f>IF(ISNUMBER(IF(J_V="SI",Datos!L9,Datos!L9+Datos!AB9)-IF(Monitorios="SI",Datos!CD9,0)),
                          IF(J_V="SI",Datos!L9,Datos!L9+Datos!AB9)-IF(Monitorios="SI",Datos!CD9,0),
                          " - ")</f>
        <v xml:space="preserve"> - </v>
      </c>
      <c r="AB9" s="549"/>
      <c r="AC9" s="549"/>
      <c r="AD9" s="563"/>
      <c r="AE9" s="563">
        <f>IF(ISNUMBER(Datos!R9),Datos!R9," - ")</f>
        <v>14395</v>
      </c>
      <c r="AF9" s="693" t="str">
        <f>IF(ISNUMBER(Datos!BV9),Datos!BV9," - ")</f>
        <v xml:space="preserve"> - </v>
      </c>
      <c r="AG9" s="552" t="str">
        <f>IF(ISNUMBER(Datos!DV9),Datos!DV9," - ")</f>
        <v xml:space="preserve"> - </v>
      </c>
      <c r="AH9" s="553"/>
      <c r="AI9" s="554"/>
      <c r="AJ9" s="552">
        <f>IF(ISNUMBER(Datos!M9),Datos!M9," - ")</f>
        <v>620</v>
      </c>
      <c r="AK9" s="693">
        <f>IF(ISNUMBER(Datos!N9),Datos!N9," - ")</f>
        <v>1126</v>
      </c>
      <c r="AL9" s="693" t="str">
        <f>IF(ISNUMBER(Datos!BW9),Datos!BW9," - ")</f>
        <v xml:space="preserve"> - </v>
      </c>
      <c r="AM9" s="762" t="str">
        <f>IF(ISNUMBER(Datos!BX9),Datos!BX9," - ")</f>
        <v xml:space="preserve"> - </v>
      </c>
      <c r="AN9" s="763"/>
      <c r="AO9" s="764">
        <f>IF(ISNUMBER(((NºAsuntos!I9/NºAsuntos!G9)*11)/factor_trimestre),((NºAsuntos!I9/NºAsuntos!G9)*11)/factor_trimestre," - ")</f>
        <v>7.9747870528109024</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-1.3365318711446196E-2</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2</v>
      </c>
      <c r="B10" s="746" t="s">
        <v>321</v>
      </c>
      <c r="C10" s="747" t="str">
        <f>Datos!A10</f>
        <v>Jdos. Violencia contra la mujer</v>
      </c>
      <c r="D10" s="601"/>
      <c r="E10" s="1558">
        <f>IF(ISNUMBER(Datos!AQ10),Datos!AQ10," - ")</f>
        <v>1</v>
      </c>
      <c r="F10" s="552">
        <f>IF(ISNUMBER(Datos!L10+Datos!K10-Datos!J10),Datos!L10+Datos!K10-Datos!J10," - ")</f>
        <v>195</v>
      </c>
      <c r="G10" s="552">
        <f>IF(ISNUMBER(Datos!I10),Datos!I10," - ")</f>
        <v>195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17</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67</v>
      </c>
      <c r="Z10" s="805">
        <f>IF(ISNUMBER(Datos!Q10),Datos!Q10," - ")</f>
        <v>5</v>
      </c>
      <c r="AA10" s="551">
        <f>IF(ISNUMBER(Datos!L10),Datos!L10,"-")</f>
        <v>191</v>
      </c>
      <c r="AB10" s="549"/>
      <c r="AC10" s="549"/>
      <c r="AD10" s="563"/>
      <c r="AE10" s="563">
        <f>IF(ISNUMBER(Datos!R10),Datos!R10," - ")</f>
        <v>176</v>
      </c>
      <c r="AF10" s="693" t="str">
        <f>IF(ISNUMBER(Datos!BV10),Datos!BV10," - ")</f>
        <v xml:space="preserve"> - </v>
      </c>
      <c r="AG10" s="552" t="str">
        <f>IF(ISNUMBER(Datos!DV10),Datos!DV10," - ")</f>
        <v xml:space="preserve"> - </v>
      </c>
      <c r="AH10" s="553"/>
      <c r="AI10" s="554"/>
      <c r="AJ10" s="552">
        <f>IF(ISNUMBER(Datos!M10),Datos!M10," - ")</f>
        <v>12</v>
      </c>
      <c r="AK10" s="693">
        <f>IF(ISNUMBER(Datos!N10),Datos!N10," - ")</f>
        <v>12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5.7014925373134329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7.3170731707317069E-2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2</v>
      </c>
      <c r="B11" s="746" t="s">
        <v>321</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75</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158</v>
      </c>
      <c r="AA11" s="551" t="str">
        <f>IF(ISNUMBER(IF(J_V="SI",Datos!L11,Datos!L11+Datos!AB11)-IF(Monitorios="SI",Datos!CD11,0)),
                          IF(J_V="SI",Datos!L11,Datos!L11+Datos!AB11)-IF(Monitorios="SI",Datos!CD11,0),
                          " - ")</f>
        <v xml:space="preserve"> - </v>
      </c>
      <c r="AB11" s="549"/>
      <c r="AC11" s="549"/>
      <c r="AD11" s="563"/>
      <c r="AE11" s="563">
        <f>IF(ISNUMBER(Datos!R11),Datos!R11," - ")</f>
        <v>949</v>
      </c>
      <c r="AF11" s="693" t="str">
        <f>IF(ISNUMBER(Datos!BV11),Datos!BV11," - ")</f>
        <v xml:space="preserve"> - </v>
      </c>
      <c r="AG11" s="552" t="str">
        <f>IF(ISNUMBER(Datos!DV11),Datos!DV11," - ")</f>
        <v xml:space="preserve"> - </v>
      </c>
      <c r="AH11" s="553"/>
      <c r="AI11" s="554"/>
      <c r="AJ11" s="552">
        <f>IF(ISNUMBER(Datos!M11),Datos!M11," - ")</f>
        <v>313</v>
      </c>
      <c r="AK11" s="693">
        <f>IF(ISNUMBER(Datos!N11),Datos!N11," - ")</f>
        <v>348</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3.6727272727272724</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-8.0426356589147291E-2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12</v>
      </c>
      <c r="F14" s="1197">
        <f>SUBTOTAL(9,F8:F13)</f>
        <v>195</v>
      </c>
      <c r="G14" s="1197">
        <f>SUBTOTAL(9,G8:G13)</f>
        <v>195</v>
      </c>
      <c r="H14" s="1211"/>
      <c r="I14" s="1197">
        <f t="shared" ref="I14:N14" si="1">SUBTOTAL(9,I8:I13)</f>
        <v>0</v>
      </c>
      <c r="J14" s="1164">
        <f t="shared" si="1"/>
        <v>0</v>
      </c>
      <c r="K14" s="1211">
        <f t="shared" si="1"/>
        <v>0</v>
      </c>
      <c r="L14" s="1211">
        <f t="shared" si="1"/>
        <v>0</v>
      </c>
      <c r="M14" s="1211">
        <f t="shared" si="1"/>
        <v>0</v>
      </c>
      <c r="N14" s="1211">
        <f t="shared" si="1"/>
        <v>944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67</v>
      </c>
      <c r="Z14" s="1210">
        <f t="shared" si="3"/>
        <v>1210</v>
      </c>
      <c r="AA14" s="1199">
        <f t="shared" si="3"/>
        <v>191</v>
      </c>
      <c r="AB14" s="1199">
        <f t="shared" si="3"/>
        <v>0</v>
      </c>
      <c r="AC14" s="1199">
        <f t="shared" si="3"/>
        <v>0</v>
      </c>
      <c r="AD14" s="1199">
        <f t="shared" si="3"/>
        <v>0</v>
      </c>
      <c r="AE14" s="1199">
        <f t="shared" si="3"/>
        <v>15520</v>
      </c>
      <c r="AF14" s="1211">
        <f t="shared" si="3"/>
        <v>0</v>
      </c>
      <c r="AG14" s="1211">
        <f t="shared" si="3"/>
        <v>0</v>
      </c>
      <c r="AH14" s="1211">
        <f t="shared" si="3"/>
        <v>0</v>
      </c>
      <c r="AI14" s="1211">
        <f t="shared" si="3"/>
        <v>0</v>
      </c>
      <c r="AJ14" s="1211">
        <f t="shared" si="3"/>
        <v>945</v>
      </c>
      <c r="AK14" s="1211">
        <f t="shared" si="3"/>
        <v>1486</v>
      </c>
      <c r="AL14" s="1211">
        <f t="shared" si="3"/>
        <v>0</v>
      </c>
      <c r="AM14" s="1211">
        <f t="shared" si="3"/>
        <v>0</v>
      </c>
      <c r="AN14" s="1211">
        <f t="shared" si="3"/>
        <v>0</v>
      </c>
      <c r="AO14" s="1203">
        <f>IF(ISNUMBER(((NºAsuntos!I14/NºAsuntos!G14)*11)/factor_trimestre),((NºAsuntos!I14/NºAsuntos!G14)*11)/factor_trimestre," - ")</f>
        <v>7.056203605514316</v>
      </c>
      <c r="AP14" s="1213" t="str">
        <f>IF(ISNUMBER(Datos!CI14/Datos!CJ14),Datos!CI14/Datos!CJ14," - ")</f>
        <v xml:space="preserve"> - </v>
      </c>
      <c r="AQ14" s="1236">
        <f t="shared" ref="AQ14:AV14" si="4">SUBTOTAL(9,AQ9:AQ13)</f>
        <v>0</v>
      </c>
      <c r="AR14" s="1236">
        <f t="shared" si="4"/>
        <v>-2.0620943593276417E-2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8</v>
      </c>
      <c r="B16" s="746" t="s">
        <v>511</v>
      </c>
      <c r="C16" s="765" t="str">
        <f>Datos!A16</f>
        <v xml:space="preserve">Jdos. Instrucción                               </v>
      </c>
      <c r="D16" s="593"/>
      <c r="E16" s="1558">
        <f>IF(ISNUMBER(Datos!AQ16),Datos!AQ16," - ")</f>
        <v>8</v>
      </c>
      <c r="F16" s="543">
        <f>IF(ISNUMBER(AA16+Y16-Datos!J16-K16),AA16+Y16-Datos!J16-K16," - ")</f>
        <v>2949</v>
      </c>
      <c r="G16" s="552">
        <f>IF(ISNUMBER(IF(D_I="SI",Datos!I16,Datos!I16+Datos!AC16)),IF(D_I="SI",Datos!I16,Datos!I16+Datos!AC16)," - ")</f>
        <v>2842</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170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6147</v>
      </c>
      <c r="Z16" s="805">
        <f>IF(ISNUMBER(Datos!Q16),Datos!Q16," - ")</f>
        <v>150</v>
      </c>
      <c r="AA16" s="551">
        <f>IF(ISNUMBER(IF(D_I="SI",Datos!L16,Datos!L16+Datos!AF16)),IF(D_I="SI",Datos!L16,Datos!L16+Datos!AF16)," - ")</f>
        <v>3175</v>
      </c>
      <c r="AB16" s="549"/>
      <c r="AC16" s="549"/>
      <c r="AD16" s="563"/>
      <c r="AE16" s="563">
        <f>IF(ISNUMBER(Datos!R16),Datos!R16," - ")</f>
        <v>618</v>
      </c>
      <c r="AF16" s="693" t="str">
        <f>IF(ISNUMBER(Datos!BV16),Datos!BV16," - ")</f>
        <v xml:space="preserve"> - </v>
      </c>
      <c r="AG16" s="552"/>
      <c r="AH16" s="553"/>
      <c r="AI16" s="554"/>
      <c r="AJ16" s="552">
        <f>IF(ISNUMBER(Datos!M16),Datos!M16," - ")</f>
        <v>488</v>
      </c>
      <c r="AK16" s="693">
        <f>IF(ISNUMBER(Datos!N16),Datos!N16," - ")</f>
        <v>4216</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1.0330242394664064</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2</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348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497</v>
      </c>
      <c r="Z18" s="805">
        <f>IF(ISNUMBER(Datos!Q18),Datos!Q18," - ")</f>
        <v>3</v>
      </c>
      <c r="AA18" s="551">
        <f>IF(ISNUMBER(Datos!L18),Datos!L18,"-")</f>
        <v>352</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59</v>
      </c>
      <c r="AK18" s="693">
        <f>IF(ISNUMBER(Datos!N18),Datos!N18," - ")</f>
        <v>152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1.4164989939637826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9</v>
      </c>
      <c r="F23" s="1197">
        <f>SUBTOTAL(9,F16:F22)</f>
        <v>2949</v>
      </c>
      <c r="G23" s="1197">
        <f>SUBTOTAL(9,G16:G22)</f>
        <v>3190</v>
      </c>
      <c r="H23" s="1240">
        <f>SUBTOTAL(9,H16:H22)</f>
        <v>0</v>
      </c>
      <c r="I23" s="1217">
        <f>SUBTOTAL(9,I16:I22)</f>
        <v>0</v>
      </c>
      <c r="J23" s="1164">
        <f>SUBTOTAL(9,J15:J22)</f>
        <v>0</v>
      </c>
      <c r="K23" s="1240">
        <f t="shared" ref="K23:S23" si="5">SUBTOTAL(9,K16:K22)</f>
        <v>0</v>
      </c>
      <c r="L23" s="1240">
        <f t="shared" si="5"/>
        <v>0</v>
      </c>
      <c r="M23" s="1240">
        <f t="shared" si="5"/>
        <v>0</v>
      </c>
      <c r="N23" s="1240">
        <f t="shared" si="5"/>
        <v>170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6644</v>
      </c>
      <c r="Z23" s="1240">
        <f t="shared" si="6"/>
        <v>153</v>
      </c>
      <c r="AA23" s="1240">
        <f t="shared" si="6"/>
        <v>3527</v>
      </c>
      <c r="AB23" s="1240">
        <f t="shared" si="6"/>
        <v>0</v>
      </c>
      <c r="AC23" s="1240">
        <f t="shared" si="6"/>
        <v>0</v>
      </c>
      <c r="AD23" s="1240">
        <f t="shared" si="6"/>
        <v>0</v>
      </c>
      <c r="AE23" s="1240">
        <f t="shared" si="6"/>
        <v>619</v>
      </c>
      <c r="AF23" s="1240">
        <f t="shared" si="6"/>
        <v>0</v>
      </c>
      <c r="AG23" s="1240">
        <f t="shared" si="6"/>
        <v>0</v>
      </c>
      <c r="AH23" s="1240">
        <f t="shared" si="6"/>
        <v>0</v>
      </c>
      <c r="AI23" s="1240">
        <f t="shared" si="6"/>
        <v>0</v>
      </c>
      <c r="AJ23" s="1240">
        <f t="shared" si="6"/>
        <v>547</v>
      </c>
      <c r="AK23" s="1240">
        <f t="shared" si="6"/>
        <v>4368</v>
      </c>
      <c r="AL23" s="1240">
        <f t="shared" si="6"/>
        <v>0</v>
      </c>
      <c r="AM23" s="1240">
        <f t="shared" si="6"/>
        <v>0</v>
      </c>
      <c r="AN23" s="1240">
        <f t="shared" si="6"/>
        <v>0</v>
      </c>
      <c r="AO23" s="1242">
        <f>IF(ISNUMBER(((NºAsuntos!I23/NºAsuntos!G23)*11)/factor_trimestre),((NºAsuntos!I23/NºAsuntos!G23)*11)/factor_trimestre," - ")</f>
        <v>1.0617098133654426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21</v>
      </c>
      <c r="F31" s="1117">
        <f t="shared" si="12"/>
        <v>3144</v>
      </c>
      <c r="G31" s="1117">
        <f t="shared" si="12"/>
        <v>3385</v>
      </c>
      <c r="H31" s="1118">
        <f t="shared" si="12"/>
        <v>0</v>
      </c>
      <c r="I31" s="1117">
        <f t="shared" si="12"/>
        <v>0</v>
      </c>
      <c r="J31" s="1119">
        <f t="shared" si="12"/>
        <v>0</v>
      </c>
      <c r="K31" s="1117">
        <f t="shared" si="12"/>
        <v>0</v>
      </c>
      <c r="L31" s="1120">
        <f t="shared" si="12"/>
        <v>0</v>
      </c>
      <c r="M31" s="1117">
        <f t="shared" si="12"/>
        <v>0</v>
      </c>
      <c r="N31" s="1118">
        <f t="shared" si="12"/>
        <v>1114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6711</v>
      </c>
      <c r="Z31" s="1124">
        <f t="shared" si="13"/>
        <v>1363</v>
      </c>
      <c r="AA31" s="1125">
        <f t="shared" si="13"/>
        <v>3718</v>
      </c>
      <c r="AB31" s="1125">
        <f t="shared" si="13"/>
        <v>0</v>
      </c>
      <c r="AC31" s="1125">
        <f t="shared" si="13"/>
        <v>0</v>
      </c>
      <c r="AD31" s="1126">
        <f t="shared" si="13"/>
        <v>0</v>
      </c>
      <c r="AE31" s="1126">
        <f t="shared" si="13"/>
        <v>16139</v>
      </c>
      <c r="AF31" s="1127">
        <f t="shared" si="13"/>
        <v>0</v>
      </c>
      <c r="AG31" s="1128">
        <f t="shared" si="13"/>
        <v>0</v>
      </c>
      <c r="AH31" s="1129">
        <f t="shared" si="13"/>
        <v>0</v>
      </c>
      <c r="AI31" s="1127">
        <f t="shared" si="13"/>
        <v>0</v>
      </c>
      <c r="AJ31" s="1117">
        <f t="shared" si="13"/>
        <v>1492</v>
      </c>
      <c r="AK31" s="1117">
        <f t="shared" si="13"/>
        <v>5854</v>
      </c>
      <c r="AL31" s="1117">
        <f t="shared" si="13"/>
        <v>0</v>
      </c>
      <c r="AM31" s="1130">
        <f t="shared" si="13"/>
        <v>0</v>
      </c>
      <c r="AN31" s="1120">
        <f>IF(ISNUMBER(Datos!K31/Datos!J31),Datos!K31/Datos!J31," - ")</f>
        <v>0.96738497379149679</v>
      </c>
      <c r="AO31" s="1120">
        <f>IF(ISNUMBER(FIND("06",Criterios!A8,1)),(IF(ISNUMBER(((Datos!R31/Datos!Q31)*11)/factor_trimestre),((Datos!R31/Datos!Q31)*11)/factor_trimestre," - ")),(IF(ISNUMBER(((Datos!L31/Datos!K31)*11)/factor_trimestre),((Datos!L31/Datos!K31)*11)/factor_trimestre," - ")))</f>
        <v>3.2937989163154726</v>
      </c>
      <c r="AP31" s="1131" t="str">
        <f>IF(ISNUMBER(Datos!CI31/Datos!CJ31),Datos!CI31/Datos!CJ31," - ")</f>
        <v xml:space="preserve"> - </v>
      </c>
      <c r="AQ31" s="1131">
        <f>IF(OR(ISNUMBER(FIND("01",Criterios!A8,1)),ISNUMBER(FIND("02",Criterios!A8,1)),ISNUMBER(FIND("03",Criterios!A8,1)),ISNUMBER(FIND("04",Criterios!A8,1))),(J31-Y31+K31)/(F31-K31),(I31-Y31+K31)/(F31-K31))</f>
        <v>-2.1345419847328246</v>
      </c>
      <c r="AR31" s="1131">
        <f>IF(ISNUMBER((Datos!P31-Datos!Q31+O31)/(Datos!R31-Datos!P31+Datos!Q31-O31)),(Datos!P31-Datos!Q31+O31)/(Datos!R31-Datos!P31+Datos!Q31-O31)," - ")</f>
        <v>-1.5194044422748352E-2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967.14285714285711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1475.0883363378616</v>
      </c>
      <c r="G33" s="674">
        <f>IF(ISNUMBER(STDEV(G8:G30)),STDEV(G8:G30),"-")</f>
        <v>1408.4661194092705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340.40604838600882</v>
      </c>
      <c r="AK33" s="276"/>
      <c r="AL33" s="276">
        <f>IF(ISNUMBER(STDEV(AL8:AL30)),STDEV(AL8:AL30),"-")</f>
        <v>0</v>
      </c>
      <c r="AM33" s="278">
        <f>IF(ISNUMBER(STDEV(AM8:AM30)),STDEV(AM8:AM30),"-")</f>
        <v>0</v>
      </c>
      <c r="AN33" s="660">
        <f>IF(ISNUMBER(STDEV(AN8:AN30)),STDEV(AN8:AN30),"-")</f>
        <v>0</v>
      </c>
      <c r="AO33" s="661">
        <f>IF(ISNUMBER(STDEV(AO8:AO30)),STDEV(AO8:AO30),"-")</f>
        <v>2.9510300838583405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Ol/xKLNQSDmNW2J0ljxsph4xZIu+WWm6DCHfE1IP7FzIOLJNdTTvc+8wFWNVexLTLLoGvMLPLIszz2V6peyj4w==" saltValue="VGlBmEJiNBCw8SracgGyw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BuYKTXkk2Eo+TLV+UU0T6KFMgHrEdd9fcuDWheGerp0zT36QqLHJfLdRda99jfX7QawwkhyDSMD12nFFBOo83w==" saltValue="iCIO+SZMaQuErGX97v3Md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4nSj4FOE+YznMHQTe24Hk/5dx8dYBRqMM6EihhDIo+8cZJEjSOaAMFGRAeFN71c2mBzlvQGk1zrtr0B3GYL5Dg==" saltValue="673o/tLYrWdnXgM1T7OEF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CORDOBA  Resumenes por Partidos Judiciales  CORDOBA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0.25053022269353126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0.17715161935877183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DJHznNYkg46GexzNZAQ4ew/dLRyU+Lg0sBFm+RQIai6zIZ+33VBZQG3nfjoLkB+IWOBnrAj6Iel7vwlDW4xuDQ==" saltValue="zHvvzzD0HtSVeg/CPyAYw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A0YvZ9hnd+rG0GsBzMpDLhrpEK9nkZqSiESygRlx/dkoWJwc1euggTUrR1ntM2+fLXGbjT/9zaq/lnKLf9EbMg==" saltValue="6bYVO8kVOsvus6FgJEIYq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CORDOBA</v>
      </c>
      <c r="D3" s="436"/>
      <c r="E3" s="436"/>
      <c r="F3" s="436"/>
    </row>
    <row r="4" spans="1:14" ht="13.5" thickBot="1">
      <c r="A4" s="436"/>
      <c r="B4" s="439" t="str">
        <f>Criterios!A11 &amp;"  "&amp;Criterios!B11</f>
        <v>Resumenes por Partidos Judiciales  CORDOBA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9</v>
      </c>
      <c r="C9" s="451">
        <f>IF(ISNUMBER(IF(J_V="SI",Datos!I9,Datos!I9+Datos!Y9)),IF(J_V="SI",Datos!I9,Datos!I9+Datos!Y9)," - ")</f>
        <v>11501</v>
      </c>
      <c r="D9" s="452">
        <f>IF(ISNUMBER(C9/Datos!BH9),C9/Datos!BH9," - ")</f>
        <v>1277.8888888888889</v>
      </c>
      <c r="E9" s="451">
        <f>IF(ISNUMBER(IF(J_V="SI",Datos!J9,Datos!J9+Datos!Z9)),IF(J_V="SI",Datos!J9,Datos!J9+Datos!Z9)," - ")</f>
        <v>3136</v>
      </c>
      <c r="F9" s="452">
        <f>IF(ISNUMBER(E9/B9),E9/B9," - ")</f>
        <v>348.44444444444446</v>
      </c>
      <c r="G9" s="451">
        <f>IF(ISNUMBER(IF(J_V="SI",Datos!K9,Datos!K9+Datos!AA9)),IF(J_V="SI",Datos!K9,Datos!K9+Datos!AA9)," - ")</f>
        <v>2935</v>
      </c>
      <c r="H9" s="452">
        <f>IF(ISNUMBER(G9/B9),G9/B9," - ")</f>
        <v>326.11111111111109</v>
      </c>
      <c r="I9" s="451">
        <f>IF(ISNUMBER(IF(J_V="SI",Datos!L9,Datos!L9+Datos!AB9)),IF(J_V="SI",Datos!L9,Datos!L9+Datos!AB9)," - ")</f>
        <v>11703</v>
      </c>
      <c r="J9" s="452">
        <f>IF(ISNUMBER(I9/B9),I9/B9," - ")</f>
        <v>1300.3333333333333</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2</v>
      </c>
      <c r="C10" s="451">
        <f>IF(ISNUMBER(Datos!I10),Datos!I10," - ")</f>
        <v>195</v>
      </c>
      <c r="D10" s="452">
        <f>IF(ISNUMBER(C10/Datos!BH10),C10/Datos!BH10," - ")</f>
        <v>97.5</v>
      </c>
      <c r="E10" s="451">
        <f>IF(ISNUMBER(Datos!J10),Datos!J10," - ")</f>
        <v>63</v>
      </c>
      <c r="F10" s="452">
        <f>IF(ISNUMBER(E10/B10),E10/B10," - ")</f>
        <v>31.5</v>
      </c>
      <c r="G10" s="451">
        <f>IF(ISNUMBER(Datos!K10),Datos!K10," - ")</f>
        <v>67</v>
      </c>
      <c r="H10" s="452">
        <f>IF(ISNUMBER(G10/B10),G10/B10," - ")</f>
        <v>33.5</v>
      </c>
      <c r="I10" s="451">
        <f>IF(ISNUMBER(Datos!L10),Datos!L10," - ")</f>
        <v>191</v>
      </c>
      <c r="J10" s="452">
        <f>IF(ISNUMBER(I10/B10),I10/B10," - ")</f>
        <v>95.5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1462</v>
      </c>
      <c r="D11" s="452">
        <f>IF(ISNUMBER(C11/Datos!BH11),C11/Datos!BH11," - ")</f>
        <v>731</v>
      </c>
      <c r="E11" s="451">
        <f>IF(ISNUMBER(IF(J_V="SI",Datos!J11,Datos!J11+Datos!Z11)),IF(J_V="SI",Datos!J11,Datos!J11+Datos!Z11)," - ")</f>
        <v>718</v>
      </c>
      <c r="F11" s="452">
        <f>IF(ISNUMBER(E11/B11),E11/B11," - ")</f>
        <v>359</v>
      </c>
      <c r="G11" s="451">
        <f>IF(ISNUMBER(IF(J_V="SI",Datos!K11,Datos!K11+Datos!AA11)),IF(J_V="SI",Datos!K11,Datos!K11+Datos!AA11)," - ")</f>
        <v>770</v>
      </c>
      <c r="H11" s="452">
        <f>IF(ISNUMBER(G11/B11),G11/B11," - ")</f>
        <v>385</v>
      </c>
      <c r="I11" s="451">
        <f>IF(ISNUMBER(IF(J_V="SI",Datos!L11,Datos!L11+Datos!AB11)),IF(J_V="SI",Datos!L11,Datos!L11+Datos!AB11)," - ")</f>
        <v>1414</v>
      </c>
      <c r="J11" s="452">
        <f>IF(ISNUMBER(I11/B11),I11/B11," - ")</f>
        <v>707</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12</v>
      </c>
      <c r="C14" s="1146">
        <f>SUBTOTAL(9,C8:C13)</f>
        <v>13158</v>
      </c>
      <c r="D14" s="1147" t="str">
        <f>IF(ISNUMBER(C14/Datos!BI14),C14/Datos!BI14," - ")</f>
        <v xml:space="preserve"> - </v>
      </c>
      <c r="E14" s="1146">
        <f>SUBTOTAL(9,E8:E13)</f>
        <v>3917</v>
      </c>
      <c r="F14" s="1147">
        <f>IF(ISNUMBER(E14/B14),E14/B14," - ")</f>
        <v>326.41666666666669</v>
      </c>
      <c r="G14" s="1146">
        <f>SUBTOTAL(9,G8:G13)</f>
        <v>3772</v>
      </c>
      <c r="H14" s="1147">
        <f>IF(ISNUMBER(G14/B14),G14/B14," - ")</f>
        <v>314.33333333333331</v>
      </c>
      <c r="I14" s="1146">
        <f>SUBTOTAL(9,I8:I13)</f>
        <v>13308</v>
      </c>
      <c r="J14" s="1147">
        <f>IF(ISNUMBER(I14/B14),I14/B14," - ")</f>
        <v>1109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8</v>
      </c>
      <c r="C16" s="451">
        <f>IF(ISNUMBER(IF(D_I="SI",Datos!I16,Datos!I16+Datos!AC16)),IF(D_I="SI",Datos!I16,Datos!I16+Datos!AC16)," - ")</f>
        <v>2842</v>
      </c>
      <c r="D16" s="452">
        <f>IF(ISNUMBER(C16/Datos!BH16),C16/Datos!BH16," - ")</f>
        <v>355.25</v>
      </c>
      <c r="E16" s="451">
        <f>IF(ISNUMBER(IF(D_I="SI",Datos!J16,Datos!J16+Datos!AD16)),IF(D_I="SI",Datos!J16,Datos!J16+Datos!AD16)," - ")</f>
        <v>6373</v>
      </c>
      <c r="F16" s="452">
        <f>IF(ISNUMBER(E16/B16),E16/B16," - ")</f>
        <v>796.625</v>
      </c>
      <c r="G16" s="451">
        <f>IF(ISNUMBER(IF(D_I="SI",Datos!K16,Datos!K16+Datos!AE16)),IF(D_I="SI",Datos!K16,Datos!K16+Datos!AE16)," - ")</f>
        <v>6147</v>
      </c>
      <c r="H16" s="452">
        <f>IF(ISNUMBER(G16/B16),G16/B16," - ")</f>
        <v>768.375</v>
      </c>
      <c r="I16" s="451">
        <f>IF(ISNUMBER(IF(D_I="SI",Datos!L16,Datos!L16+Datos!AF16)),IF(D_I="SI",Datos!L16,Datos!L16+Datos!AF16)," - ")</f>
        <v>3175</v>
      </c>
      <c r="J16" s="452">
        <f>IF(ISNUMBER(I16/B16),I16/B16," - ")</f>
        <v>396.875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2</v>
      </c>
      <c r="C18" s="451">
        <f>IF(ISNUMBER(IF(D_I="SI",Datos!I18,Datos!I18+Datos!AC18)),IF(D_I="SI",Datos!I18,Datos!I18+Datos!AC18)," - ")</f>
        <v>348</v>
      </c>
      <c r="D18" s="452">
        <f>IF(ISNUMBER(C18/Datos!BH18),C18/Datos!BH18," - ")</f>
        <v>174</v>
      </c>
      <c r="E18" s="451">
        <f>IF(ISNUMBER(IF(D_I="SI",Datos!J18,Datos!J18+Datos!AD18)),IF(D_I="SI",Datos!J18,Datos!J18+Datos!AD18)," - ")</f>
        <v>501</v>
      </c>
      <c r="F18" s="452">
        <f>IF(ISNUMBER(E18/B18),E18/B18," - ")</f>
        <v>250.5</v>
      </c>
      <c r="G18" s="451">
        <f>IF(ISNUMBER(IF(D_I="SI",Datos!K18,Datos!K18+Datos!AE18)),IF(D_I="SI",Datos!K18,Datos!K18+Datos!AE18)," - ")</f>
        <v>497</v>
      </c>
      <c r="H18" s="452">
        <f>IF(ISNUMBER(G18/B18),G18/B18," - ")</f>
        <v>248.5</v>
      </c>
      <c r="I18" s="451">
        <f>IF(ISNUMBER(IF(D_I="SI",Datos!L18,Datos!L18+Datos!AF18)),IF(D_I="SI",Datos!L18,Datos!L18+Datos!AF18)," - ")</f>
        <v>352</v>
      </c>
      <c r="J18" s="452">
        <f>IF(ISNUMBER(I18/B18),I18/B18," - ")</f>
        <v>176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9</v>
      </c>
      <c r="C23" s="1146">
        <f>SUBTOTAL(9,C15:C22)</f>
        <v>3190</v>
      </c>
      <c r="D23" s="1147" t="str">
        <f>IF(ISNUMBER(C23/Datos!BI23),C23/Datos!BI23," - ")</f>
        <v xml:space="preserve"> - </v>
      </c>
      <c r="E23" s="1146">
        <f>SUBTOTAL(9,E15:E22)</f>
        <v>6874</v>
      </c>
      <c r="F23" s="1147">
        <f>IF(ISNUMBER(E23/B23),E23/B23," - ")</f>
        <v>763.77777777777783</v>
      </c>
      <c r="G23" s="1146">
        <f>SUBTOTAL(9,G15:G22)</f>
        <v>6644</v>
      </c>
      <c r="H23" s="1147">
        <f>IF(ISNUMBER(G23/B23),G23/B23," - ")</f>
        <v>738.22222222222217</v>
      </c>
      <c r="I23" s="1146">
        <f>SUBTOTAL(9,I15:I22)</f>
        <v>3527</v>
      </c>
      <c r="J23" s="1147">
        <f>IF(ISNUMBER(I23/B23),I23/B23," - ")</f>
        <v>391.88888888888891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20</v>
      </c>
      <c r="C31" s="1084">
        <f>SUBTOTAL(9,C9:C30)</f>
        <v>16348</v>
      </c>
      <c r="D31" s="1085" t="str">
        <f>IF(ISNUMBER(C31/Datos!BI31),C31/Datos!BI31," - ")</f>
        <v xml:space="preserve"> - </v>
      </c>
      <c r="E31" s="1084">
        <f>SUBTOTAL(9,E9:E30)</f>
        <v>10791</v>
      </c>
      <c r="F31" s="1085">
        <f>IF(ISNUMBER(E31/B31),E31/B31," - ")</f>
        <v>539.54999999999995</v>
      </c>
      <c r="G31" s="1084">
        <f>SUBTOTAL(9,G9:G30)</f>
        <v>10416</v>
      </c>
      <c r="H31" s="1085">
        <f>IF(ISNUMBER(G31/B31),G31/B31," - ")</f>
        <v>520.79999999999995</v>
      </c>
      <c r="I31" s="1084">
        <f>SUBTOTAL(9,I9:I30)</f>
        <v>16835</v>
      </c>
      <c r="J31" s="1085">
        <f>IF(ISNUMBER(I31/B31),I31/B31," - ")</f>
        <v>841.75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SgvPOke3nYg5CxTFVrqFh9I/e0YAKwxlk1GQ7yX2TgWFeA5XXM9uUGZ/H2Js/hc9jaz8ZJ5+1E+s66SuN+9Dqg==" saltValue="2n04QHpc7Zte+vqmlDWMe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CORDOBA  Resumenes por Partidos Judiciales  CORDOBA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9</v>
      </c>
      <c r="B9" s="745" t="s">
        <v>321</v>
      </c>
      <c r="C9" s="765" t="str">
        <f>Datos!A9</f>
        <v xml:space="preserve">Jdos. 1ª Instancia   </v>
      </c>
      <c r="D9" s="593"/>
      <c r="E9" s="904">
        <f>IF(ISNUMBER(Datos!AQ9),Datos!AQ9," - ")</f>
        <v>9</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2</v>
      </c>
      <c r="B10" s="746" t="s">
        <v>321</v>
      </c>
      <c r="C10" s="747" t="str">
        <f>Datos!A10</f>
        <v>Jdos. Violencia contra la mujer</v>
      </c>
      <c r="D10" s="601"/>
      <c r="E10" s="904">
        <f>IF(ISNUMBER(Datos!AQ10),Datos!AQ10," - ")</f>
        <v>1</v>
      </c>
      <c r="F10" s="905">
        <f>IF(ISNUMBER(Datos!L10+Datos!K10-Datos!J10),Datos!L10+Datos!K10-Datos!J10," - ")</f>
        <v>195</v>
      </c>
      <c r="G10" s="906">
        <f>IF(ISNUMBER(Datos!I10),Datos!I10," - ")</f>
        <v>195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17</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67</v>
      </c>
      <c r="AC10" s="905" t="str">
        <f>IF(ISNUMBER(IF(D_I="SI",DatosP!K18,DatosP!K18+DatosP!AE18)),IF(D_I="SI",DatosP!K18,DatosP!K18+DatosP!AE18)," - ")</f>
        <v xml:space="preserve"> - </v>
      </c>
      <c r="AD10" s="907"/>
      <c r="AE10" s="907"/>
      <c r="AF10" s="910">
        <f>IF(ISNUMBER(Datos!L10),Datos!L10,"-")</f>
        <v>191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12</v>
      </c>
      <c r="AM10" s="914">
        <f>IF(ISNUMBER(Datos!N10+DatosP!N18),Datos!N10+DatosP!N18," - ")</f>
        <v>12</v>
      </c>
      <c r="AN10" s="914">
        <f>IF(ISNUMBER(Datos!BW10+DatosP!BW18),Datos!BW10+DatosP!BW18," - ")</f>
        <v>0</v>
      </c>
      <c r="AO10" s="915">
        <f>IF(ISNUMBER(Datos!BX10+DatosP!BX18),Datos!BX10+DatosP!BX18," - ")</f>
        <v>0</v>
      </c>
      <c r="AP10" s="917">
        <f>IF(ISNUMBER(((Datos!L10/Datos!K10)*11)/factor_trimestre),((Datos!L10/Datos!K10)*11)/factor_trimestre," - ")</f>
        <v>5.7014925373134329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321</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12</v>
      </c>
      <c r="F14" s="1256">
        <f t="shared" si="0"/>
        <v>195</v>
      </c>
      <c r="G14" s="1256">
        <f t="shared" si="0"/>
        <v>195</v>
      </c>
      <c r="H14" s="1256">
        <f t="shared" si="0"/>
        <v>0</v>
      </c>
      <c r="I14" s="1258">
        <f t="shared" si="0"/>
        <v>0</v>
      </c>
      <c r="J14" s="1257">
        <f t="shared" si="0"/>
        <v>0</v>
      </c>
      <c r="K14" s="1257">
        <f t="shared" si="0"/>
        <v>0</v>
      </c>
      <c r="L14" s="1259">
        <f t="shared" si="0"/>
        <v>0</v>
      </c>
      <c r="M14" s="1259">
        <f t="shared" si="0"/>
        <v>0</v>
      </c>
      <c r="N14" s="1257">
        <f t="shared" si="0"/>
        <v>17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67</v>
      </c>
      <c r="AC14" s="1257">
        <f t="shared" si="1"/>
        <v>0</v>
      </c>
      <c r="AD14" s="1257">
        <f t="shared" si="1"/>
        <v>0</v>
      </c>
      <c r="AE14" s="1257">
        <f t="shared" si="1"/>
        <v>0</v>
      </c>
      <c r="AF14" s="1257">
        <f t="shared" si="1"/>
        <v>191</v>
      </c>
      <c r="AG14" s="1257">
        <f t="shared" si="1"/>
        <v>0</v>
      </c>
      <c r="AH14" s="1257">
        <f t="shared" si="1"/>
        <v>0</v>
      </c>
      <c r="AI14" s="1257">
        <f t="shared" si="1"/>
        <v>0</v>
      </c>
      <c r="AJ14" s="1257">
        <f t="shared" si="1"/>
        <v>0</v>
      </c>
      <c r="AK14" s="1257">
        <f t="shared" si="1"/>
        <v>0</v>
      </c>
      <c r="AL14" s="1257">
        <f t="shared" si="1"/>
        <v>12</v>
      </c>
      <c r="AM14" s="1257">
        <f t="shared" si="1"/>
        <v>12</v>
      </c>
      <c r="AN14" s="1257">
        <f t="shared" si="1"/>
        <v>0</v>
      </c>
      <c r="AO14" s="1257">
        <f t="shared" si="1"/>
        <v>0</v>
      </c>
      <c r="AP14" s="1262">
        <f>IF(ISNUMBER(((Datos!L14/Datos!K14)*11)/factor_trimestre),((Datos!L14/Datos!K14)*11)/factor_trimestre," - ")</f>
        <v>7.7579771222155332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-0.34358974358974359</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8</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2</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1.0617098133654426</v>
      </c>
      <c r="AQ23" s="1262">
        <f>IF(ISNUMBER(((Datos!M23/Datos!L23)*11)/factor_trimestre),((Datos!M23/Datos!L23)*11)/factor_trimestre," - ")</f>
        <v>0.31017862205840657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2.823920265780731E-2</v>
      </c>
      <c r="AW23" s="1265">
        <f>IF(ISNUMBER((Datos!Q23-Datos!R23)/(Datos!S23-Datos!Q23+Datos!R23)),(Datos!Q23-Datos!R23)/(Datos!S23-Datos!Q23+Datos!R23)," - ")</f>
        <v>-0.12673375033995105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12</v>
      </c>
      <c r="F31" s="1278">
        <f t="shared" si="8"/>
        <v>195</v>
      </c>
      <c r="G31" s="1278">
        <f t="shared" si="8"/>
        <v>195</v>
      </c>
      <c r="H31" s="1278">
        <f t="shared" si="8"/>
        <v>0</v>
      </c>
      <c r="I31" s="1279">
        <f t="shared" si="8"/>
        <v>0</v>
      </c>
      <c r="J31" s="1280">
        <f t="shared" si="8"/>
        <v>0</v>
      </c>
      <c r="K31" s="1280">
        <f t="shared" si="8"/>
        <v>0</v>
      </c>
      <c r="L31" s="1280">
        <f t="shared" si="8"/>
        <v>0</v>
      </c>
      <c r="M31" s="1280">
        <f t="shared" si="8"/>
        <v>0</v>
      </c>
      <c r="N31" s="1279">
        <f t="shared" si="8"/>
        <v>17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67</v>
      </c>
      <c r="AC31" s="1284">
        <f t="shared" si="9"/>
        <v>0</v>
      </c>
      <c r="AD31" s="1284">
        <f t="shared" si="9"/>
        <v>0</v>
      </c>
      <c r="AE31" s="1284">
        <f t="shared" si="9"/>
        <v>0</v>
      </c>
      <c r="AF31" s="1285">
        <f t="shared" si="9"/>
        <v>191</v>
      </c>
      <c r="AG31" s="1285">
        <f t="shared" si="9"/>
        <v>0</v>
      </c>
      <c r="AH31" s="1285">
        <f t="shared" si="9"/>
        <v>0</v>
      </c>
      <c r="AI31" s="1285">
        <f t="shared" si="9"/>
        <v>0</v>
      </c>
      <c r="AJ31" s="1286">
        <f t="shared" si="9"/>
        <v>0</v>
      </c>
      <c r="AK31" s="1286">
        <f t="shared" si="9"/>
        <v>0</v>
      </c>
      <c r="AL31" s="1278">
        <f t="shared" si="9"/>
        <v>12</v>
      </c>
      <c r="AM31" s="1278">
        <f t="shared" si="9"/>
        <v>12</v>
      </c>
      <c r="AN31" s="1278">
        <f t="shared" si="9"/>
        <v>0</v>
      </c>
      <c r="AO31" s="1278">
        <f t="shared" si="9"/>
        <v>0</v>
      </c>
      <c r="AP31" s="1278">
        <f>IF(ISNUMBER(((Datos!L31/Datos!K31)*11)/factor_trimestre),((Datos!L31/Datos!K31)*11)/factor_trimestre," - ")</f>
        <v>3.2937989163154726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-0.34358974358974359</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-1.5194044422748352E-2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78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4.5552167895721496</v>
      </c>
      <c r="F33" s="1006">
        <f>IF(ISNUMBER(STDEV(F8:F30)),STDEV(F8:F30),"-")</f>
        <v>106.80589871350739</v>
      </c>
      <c r="G33" s="1007">
        <f>IF(ISNUMBER(STDEV(G8:G30)),STDEV(G8:G30),"-")</f>
        <v>106.80589871350739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36.697411352846132</v>
      </c>
      <c r="AC33" s="1008">
        <f>IF(ISNUMBER(STDEV(AC8:AC30)),STDEV(AC8:AC30),"-")</f>
        <v>0</v>
      </c>
      <c r="AD33" s="1011"/>
      <c r="AE33" s="1011"/>
      <c r="AF33" s="1011"/>
      <c r="AG33" s="1011"/>
      <c r="AH33" s="1011"/>
      <c r="AI33" s="1011"/>
      <c r="AJ33" s="1012">
        <f>IF(ISNUMBER(STDEV(AJ8:AJ30)),STDEV(AJ8:AJ30),"-")</f>
        <v>0</v>
      </c>
      <c r="AK33" s="1014"/>
      <c r="AL33" s="1006">
        <f>IF(ISNUMBER(STDEV(AL8:AL30)),STDEV(AL8:AL30),"-")</f>
        <v>6.5726706900619938</v>
      </c>
      <c r="AM33" s="1006"/>
      <c r="AN33" s="1006">
        <f>IF(ISNUMBER(STDEV(AN8:AN30)),STDEV(AN8:AN30),"-")</f>
        <v>0</v>
      </c>
      <c r="AO33" s="1012">
        <f>IF(ISNUMBER(STDEV(AO8:AO30)),STDEV(AO8:AO30),"-")</f>
        <v>0</v>
      </c>
      <c r="AP33" s="1065">
        <f>IF(ISNUMBER(STDEV(AP8:AP30)),STDEV(AP8:AP30),"-")</f>
        <v>3.4301775572352078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H84jjEhNz5ZoN1D+VBmOcDLyz7lgtZqXTgoH+WATA5BKd9dvndruwAImgSqm4k7ihamiOeNFvr6FNfN5IXgMjA==" saltValue="I5qOEKxxwzFX71PqyJ6KJ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CORDOBA</v>
      </c>
      <c r="C3" s="463"/>
      <c r="F3" s="436"/>
      <c r="G3" s="436"/>
      <c r="H3" s="436"/>
    </row>
    <row r="4" spans="1:15" ht="13.5" thickBot="1">
      <c r="A4" s="436"/>
      <c r="B4" s="439" t="str">
        <f>Criterios!A11 &amp;"  "&amp;Criterios!B11</f>
        <v>Resumenes por Partidos Judiciales  CORDOBA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9</v>
      </c>
      <c r="D9" s="451">
        <f>Datos!BK9</f>
        <v>0</v>
      </c>
      <c r="E9" s="451">
        <f>Datos!AQ9</f>
        <v>9</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0.5</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8</v>
      </c>
      <c r="D16" s="451">
        <f>Datos!BK16</f>
        <v>0</v>
      </c>
      <c r="E16" s="451">
        <f>Datos!AQ16</f>
        <v>8</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0.5</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KUiUwxYuauk5ZzKUbEUoQXZJNoFxLEWJD20ZxePNKlqVH+tExJvOioj9fZat3F+3WwKy7Lq5MG/Fo28Af/gtQw==" saltValue="k8qHRGpwxrkiBzLHTfBHG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CORDOBA</v>
      </c>
      <c r="C3" s="475"/>
      <c r="D3" s="476"/>
    </row>
    <row r="4" spans="1:9" ht="13.5" thickBot="1">
      <c r="B4" s="477" t="str">
        <f>Criterios!A11 &amp;"  "&amp;Criterios!B11</f>
        <v>Resumenes por Partidos Judiciales  CORDOBA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9</v>
      </c>
      <c r="C9" s="458">
        <f>Datos!AQ9</f>
        <v>9</v>
      </c>
      <c r="D9" s="451">
        <f>IF(ISNUMBER(Datos!M9),Datos!M9," - ")</f>
        <v>620</v>
      </c>
      <c r="E9" s="452">
        <f t="shared" ref="E9:E14" si="0">IF(ISNUMBER(D9/B9),D9/B9," - ")</f>
        <v>68.888888888888886</v>
      </c>
      <c r="F9" s="451">
        <f>IF(ISNUMBER(Datos!N9),Datos!N9," - ")</f>
        <v>1126</v>
      </c>
      <c r="G9" s="452">
        <f t="shared" ref="G9:G14" si="1">IF(ISNUMBER(F9/B9),F9/B9," - ")</f>
        <v>125.11111111111111</v>
      </c>
      <c r="H9" s="451">
        <f>IF(ISNUMBER(Datos!O9),Datos!O9," - ")</f>
        <v>1501</v>
      </c>
      <c r="I9" s="452">
        <f>IF(ISNUMBER(H9/B9),H9/B9," - ")</f>
        <v>166.77777777777777</v>
      </c>
    </row>
    <row r="10" spans="1:9">
      <c r="A10" s="450" t="str">
        <f>Datos!A10</f>
        <v>Jdos. Violencia contra la mujer</v>
      </c>
      <c r="B10" s="480">
        <f>Datos!AO10</f>
        <v>2</v>
      </c>
      <c r="C10" s="458">
        <f>Datos!AQ10</f>
        <v>1</v>
      </c>
      <c r="D10" s="451">
        <f>IF(ISNUMBER(Datos!M10),Datos!M10," - ")</f>
        <v>12</v>
      </c>
      <c r="E10" s="452">
        <f>IF(ISNUMBER(D10/B10),D10/B10," - ")</f>
        <v>6</v>
      </c>
      <c r="F10" s="451">
        <f>IF(ISNUMBER(Datos!N10),Datos!N10," - ")</f>
        <v>12</v>
      </c>
      <c r="G10" s="452">
        <f>IF(ISNUMBER(F10/B10),F10/B10," - ")</f>
        <v>6</v>
      </c>
      <c r="H10" s="451">
        <f>IF(ISNUMBER(Datos!O10),Datos!O10," - ")</f>
        <v>48</v>
      </c>
      <c r="I10" s="452">
        <f t="shared" ref="I10:I13" si="2">IF(ISNUMBER(H10/B10),H10/B10," - ")</f>
        <v>24</v>
      </c>
    </row>
    <row r="11" spans="1:9">
      <c r="A11" s="450" t="str">
        <f>Datos!A11</f>
        <v xml:space="preserve">Jdos. Familia                                   </v>
      </c>
      <c r="B11" s="480">
        <f>Datos!AO11</f>
        <v>2</v>
      </c>
      <c r="C11" s="458">
        <f>Datos!AQ11</f>
        <v>2</v>
      </c>
      <c r="D11" s="451">
        <f>IF(ISNUMBER(Datos!M11),Datos!M11," - ")</f>
        <v>313</v>
      </c>
      <c r="E11" s="452">
        <f t="shared" si="0"/>
        <v>156.5</v>
      </c>
      <c r="F11" s="451">
        <f>IF(ISNUMBER(Datos!N11),Datos!N11," - ")</f>
        <v>348</v>
      </c>
      <c r="G11" s="452">
        <f t="shared" si="1"/>
        <v>174</v>
      </c>
      <c r="H11" s="451">
        <f>IF(ISNUMBER(Datos!O11),Datos!O11," - ")</f>
        <v>195</v>
      </c>
      <c r="I11" s="452">
        <f t="shared" si="2"/>
        <v>97.5</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13</v>
      </c>
      <c r="C14" s="1148">
        <f>Datos!AR14</f>
        <v>12</v>
      </c>
      <c r="D14" s="1146">
        <f>SUBTOTAL(9,D9:D13)</f>
        <v>945</v>
      </c>
      <c r="E14" s="1147">
        <f t="shared" si="0"/>
        <v>72.692307692307693</v>
      </c>
      <c r="F14" s="1146">
        <f>SUBTOTAL(9,F9:F13)</f>
        <v>1486</v>
      </c>
      <c r="G14" s="1147">
        <f t="shared" si="1"/>
        <v>114.30769230769231</v>
      </c>
      <c r="H14" s="1146">
        <f>SUBTOTAL(9,H9:H13)</f>
        <v>1744</v>
      </c>
      <c r="I14" s="1147">
        <f>IF(ISNUMBER(H14/B14),H14/B14," - ")</f>
        <v>134.15384615384616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8</v>
      </c>
      <c r="C16" s="481">
        <f>Datos!AQ16</f>
        <v>8</v>
      </c>
      <c r="D16" s="451">
        <f>IF(ISNUMBER(Datos!M16),Datos!M16," - ")</f>
        <v>488</v>
      </c>
      <c r="E16" s="452">
        <f t="shared" ref="E16:E23" si="3">IF(ISNUMBER(D16/B16),D16/B16," - ")</f>
        <v>61</v>
      </c>
      <c r="F16" s="451">
        <f>IF(ISNUMBER(Datos!N16),Datos!N16," - ")</f>
        <v>4216</v>
      </c>
      <c r="G16" s="452">
        <f t="shared" ref="G16:G23" si="4">IF(ISNUMBER(F16/B16),F16/B16," - ")</f>
        <v>527</v>
      </c>
      <c r="H16" s="451">
        <f>IF(ISNUMBER(Datos!O16),Datos!O16," - ")</f>
        <v>117</v>
      </c>
      <c r="I16" s="452">
        <f t="shared" ref="I16:I22" si="5">IF(ISNUMBER(H16/B16),H16/B16," - ")</f>
        <v>14.625</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2</v>
      </c>
      <c r="C18" s="481">
        <f>Datos!AQ18</f>
        <v>1</v>
      </c>
      <c r="D18" s="451">
        <f>IF(ISNUMBER(Datos!M18),Datos!M18," - ")</f>
        <v>59</v>
      </c>
      <c r="E18" s="452">
        <f>IF(ISNUMBER(D18/B18),D18/B18," - ")</f>
        <v>29.5</v>
      </c>
      <c r="F18" s="451">
        <f>IF(ISNUMBER(Datos!N18),Datos!N18," - ")</f>
        <v>152</v>
      </c>
      <c r="G18" s="452">
        <f>IF(ISNUMBER(F18/B18),F18/B18," - ")</f>
        <v>76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10</v>
      </c>
      <c r="C23" s="1148">
        <f>Datos!AR23</f>
        <v>9</v>
      </c>
      <c r="D23" s="1146">
        <f>SUBTOTAL(9,D16:D22)</f>
        <v>547</v>
      </c>
      <c r="E23" s="1147">
        <f t="shared" si="3"/>
        <v>54.7</v>
      </c>
      <c r="F23" s="1146">
        <f>SUBTOTAL(9,F16:F22)</f>
        <v>4368</v>
      </c>
      <c r="G23" s="1147">
        <f t="shared" si="4"/>
        <v>436.8</v>
      </c>
      <c r="H23" s="1146">
        <f>SUBTOTAL(9,H16:H22)</f>
        <v>117</v>
      </c>
      <c r="I23" s="1147">
        <f>IF(ISNUMBER(H23/B23),H23/B23," - ")</f>
        <v>11.7</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20</v>
      </c>
      <c r="C31" s="1084">
        <f>Datos!AR31</f>
        <v>20</v>
      </c>
      <c r="D31" s="1084">
        <f>SUBTOTAL(9,D8:D30)</f>
        <v>1492</v>
      </c>
      <c r="E31" s="1085">
        <f>IF(ISNUMBER(D31/B31),D31/B31," - ")</f>
        <v>74.599999999999994</v>
      </c>
      <c r="F31" s="1084">
        <f>SUBTOTAL(9,F8:F30)</f>
        <v>5854</v>
      </c>
      <c r="G31" s="1085">
        <f>IF(ISNUMBER(F31/B31),F31/B31," - ")</f>
        <v>292.7</v>
      </c>
      <c r="H31" s="1084">
        <f>SUBTOTAL(9,H8:H30)</f>
        <v>1861</v>
      </c>
      <c r="I31" s="1085">
        <f>IF(ISNUMBER(H31/B31),H31/B31," - ")</f>
        <v>93.05</v>
      </c>
    </row>
    <row r="34" spans="1:1">
      <c r="A34" s="439" t="str">
        <f>Criterios!A4</f>
        <v>Fecha Informe: 06 may. 2023</v>
      </c>
    </row>
    <row r="39" spans="1:1">
      <c r="A39" s="462"/>
    </row>
  </sheetData>
  <sheetProtection algorithmName="SHA-512" hashValue="ZdljAbpMbeZMQYEWQW86hkWK3llZvKLydPLthQCRjJV7FtlVY7d4yLGjgRGBLBFUBDl/aU21LRPbCcEKqXW9OA==" saltValue="qasotrRmI61uY/VlNx2ny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CORDOBA</v>
      </c>
    </row>
    <row r="4" spans="1:4" ht="13.5" thickBot="1">
      <c r="B4" s="439" t="str">
        <f>Criterios!A11 &amp;"  "&amp;Criterios!B11</f>
        <v>Resumenes por Partidos Judiciales  CORDOBA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852</v>
      </c>
      <c r="C9" s="489">
        <f>IF(ISNUMBER(Datos!Q9),Datos!Q9," - ")</f>
        <v>1047</v>
      </c>
      <c r="D9" s="456">
        <f>IF(ISNUMBER(Datos!R9),Datos!R9," - ")</f>
        <v>14395</v>
      </c>
    </row>
    <row r="10" spans="1:4">
      <c r="A10" s="450" t="str">
        <f>Datos!A10</f>
        <v>Jdos. Violencia contra la mujer</v>
      </c>
      <c r="B10" s="488">
        <f>IF(ISNUMBER(Datos!P10),Datos!P10," - ")</f>
        <v>17</v>
      </c>
      <c r="C10" s="489">
        <f>IF(ISNUMBER(Datos!Q10),Datos!Q10," - ")</f>
        <v>5</v>
      </c>
      <c r="D10" s="456">
        <f>IF(ISNUMBER(Datos!R10),Datos!R10," - ")</f>
        <v>176</v>
      </c>
    </row>
    <row r="11" spans="1:4">
      <c r="A11" s="450" t="str">
        <f>Datos!A11</f>
        <v xml:space="preserve">Jdos. Familia                                   </v>
      </c>
      <c r="B11" s="488">
        <f>IF(ISNUMBER(Datos!P11),Datos!P11," - ")</f>
        <v>75</v>
      </c>
      <c r="C11" s="489">
        <f>IF(ISNUMBER(Datos!Q11),Datos!Q11," - ")</f>
        <v>158</v>
      </c>
      <c r="D11" s="456">
        <f>IF(ISNUMBER(Datos!R11),Datos!R11," - ")</f>
        <v>949</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944</v>
      </c>
      <c r="C14" s="1150">
        <f>SUBTOTAL(9,C9:C13)</f>
        <v>1210</v>
      </c>
      <c r="D14" s="1148">
        <f>SUBTOTAL(9,D9:D13)</f>
        <v>15520</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170</v>
      </c>
      <c r="C16" s="489">
        <f>IF(ISNUMBER(Datos!Q16),Datos!Q16," - ")</f>
        <v>150</v>
      </c>
      <c r="D16" s="456">
        <f>IF(ISNUMBER(Datos!R16),Datos!R16," - ")</f>
        <v>618</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0</v>
      </c>
      <c r="C18" s="489">
        <f>IF(ISNUMBER(Datos!Q18),Datos!Q18," - ")</f>
        <v>3</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170</v>
      </c>
      <c r="C23" s="1150">
        <f>SUBTOTAL(9,C16:C22)</f>
        <v>153</v>
      </c>
      <c r="D23" s="1148">
        <f>SUBTOTAL(9,D16:D22)</f>
        <v>619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1114</v>
      </c>
      <c r="C31" s="1089">
        <f>SUBTOTAL(9,C8:C30)</f>
        <v>1363</v>
      </c>
      <c r="D31" s="1090">
        <f>SUBTOTAL(9,D8:D30)</f>
        <v>16139</v>
      </c>
    </row>
    <row r="32" spans="1:4" ht="7.5" customHeight="1"/>
    <row r="33" spans="1:1" ht="6" customHeight="1"/>
    <row r="34" spans="1:1">
      <c r="A34" s="439" t="str">
        <f>Criterios!A4</f>
        <v>Fecha Informe: 06 may. 2023</v>
      </c>
    </row>
    <row r="39" spans="1:1">
      <c r="A39" s="462"/>
    </row>
  </sheetData>
  <sheetProtection algorithmName="SHA-512" hashValue="a8Md57bzmKIvC55sPFDY21wA1noo3Ig3tgSInVObpXu38XbQK8oTH/jo6UbKCLX/HDJ/Td33xA7rpOTQMQRN+g==" saltValue="DlazN0j8MR1d/elZI1g97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CORDOBA</v>
      </c>
    </row>
    <row r="4" spans="1:11" ht="10.5" customHeight="1" thickBot="1">
      <c r="B4" s="439" t="str">
        <f>Criterios!A11 &amp;"  "&amp;Criterios!B11</f>
        <v>Resumenes por Partidos Judiciales  CORDOBA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-5.6908569085690856E-2</v>
      </c>
      <c r="C9" s="515">
        <f>IF(ISNUMBER(
   IF(J_V="SI",(Datos!J9-Datos!T9)/Datos!T9,(Datos!J9+Datos!Z9-(Datos!T9+Datos!AH9))/(Datos!T9+Datos!AH9))
     ),IF(J_V="SI",(Datos!J9-Datos!T9)/Datos!T9,(Datos!J9+Datos!Z9-(Datos!T9+Datos!AH9))/(Datos!T9+Datos!AH9))," - ")</f>
        <v>0.12</v>
      </c>
      <c r="D9" s="515">
        <f>IF(ISNUMBER(
   IF(J_V="SI",(Datos!K9-Datos!U9)/Datos!U9,(Datos!K9+Datos!AA9-(Datos!U9+Datos!AI9))/(Datos!U9+Datos!AI9))
     ),IF(J_V="SI",(Datos!K9-Datos!U9)/Datos!U9,(Datos!K9+Datos!AA9-(Datos!U9+Datos!AI9))/(Datos!U9+Datos!AI9))," - ")</f>
        <v>3.7469070342877345E-2</v>
      </c>
      <c r="E9" s="515">
        <f>IF(ISNUMBER(
   IF(J_V="SI",(Datos!L9-Datos!V9)/Datos!V9,(Datos!L9+Datos!AB9-(Datos!V9+Datos!AJ9))/(Datos!V9+Datos!AJ9))
     ),IF(J_V="SI",(Datos!L9-Datos!V9)/Datos!V9,(Datos!L9+Datos!AB9-(Datos!V9+Datos!AJ9))/(Datos!V9+Datos!AJ9))," - ")</f>
        <v>-3.8056879829031727E-2</v>
      </c>
      <c r="F9" s="515">
        <f>IF(ISNUMBER((Datos!M9-Datos!W9)/Datos!W9),(Datos!M9-Datos!W9)/Datos!W9," - ")</f>
        <v>-1.8987341772151899E-2</v>
      </c>
      <c r="G9" s="516">
        <f>IF(ISNUMBER((Datos!N9-Datos!X9)/Datos!X9),(Datos!N9-Datos!X9)/Datos!X9," - ")</f>
        <v>0.13052208835341367</v>
      </c>
      <c r="H9" s="514">
        <f>IF(ISNUMBER(((NºAsuntos!G9/NºAsuntos!E9)-Datos!BD9)/Datos!BD9),((NºAsuntos!G9/NºAsuntos!E9)-Datos!BD9)/Datos!BD9," - ")</f>
        <v>-7.3688330051002435E-2</v>
      </c>
      <c r="I9" s="515">
        <f>IF(ISNUMBER(((NºAsuntos!I9/NºAsuntos!G9)-Datos!BE9)/Datos!BE9),((NºAsuntos!I9/NºAsuntos!G9)-Datos!BE9)/Datos!BE9," - ")</f>
        <v>-7.2798266792616931E-2</v>
      </c>
      <c r="J9" s="521">
        <f>IF(ISNUMBER((('Resol  Asuntos'!D9/NºAsuntos!G9)-Datos!BF9)/Datos!BF9),(('Resol  Asuntos'!D9/NºAsuntos!G9)-Datos!BF9)/Datos!BF9," - ")</f>
        <v>-0.39999178998789026</v>
      </c>
      <c r="K9" s="522">
        <f>IF(ISNUMBER((((NºAsuntos!C9+NºAsuntos!E9)/NºAsuntos!G9)-Datos!BG9)/Datos!BG9),(((NºAsuntos!C9+NºAsuntos!E9)/NºAsuntos!G9)-Datos!BG9)/Datos!BG9," - ")</f>
        <v>-5.9128215935692355E-2</v>
      </c>
    </row>
    <row r="10" spans="1:11">
      <c r="A10" s="450" t="str">
        <f>Datos!A10</f>
        <v>Jdos. Violencia contra la mujer</v>
      </c>
      <c r="B10" s="514">
        <f>IF(ISNUMBER((Datos!I10-Datos!S10)/Datos!S10),(Datos!I10-Datos!S10)/Datos!S10," - ")</f>
        <v>0.3087248322147651</v>
      </c>
      <c r="C10" s="515">
        <f>IF(ISNUMBER((Datos!J10-Datos!T10)/Datos!T10),(Datos!J10-Datos!T10)/Datos!T10," - ")</f>
        <v>0.10526315789473684</v>
      </c>
      <c r="D10" s="515">
        <f>IF(ISNUMBER((Datos!K10-Datos!U10)/Datos!U10),(Datos!K10-Datos!U10)/Datos!U10," - ")</f>
        <v>1.1612903225806452</v>
      </c>
      <c r="E10" s="515">
        <f>IF(ISNUMBER((Datos!L10-Datos!V10)/Datos!V10),(Datos!L10-Datos!V10)/Datos!V10," - ")</f>
        <v>9.1428571428571428E-2</v>
      </c>
      <c r="F10" s="515">
        <f>IF(ISNUMBER((Datos!M10-Datos!W10)/Datos!W10),(Datos!M10-Datos!W10)/Datos!W10," - ")</f>
        <v>9.0909090909090912E-2</v>
      </c>
      <c r="G10" s="516">
        <f>IF(ISNUMBER((Datos!N10-Datos!X10)/Datos!X10),(Datos!N10-Datos!X10)/Datos!X10," - ")</f>
        <v>0.2</v>
      </c>
      <c r="H10" s="514">
        <f>IF(ISNUMBER(((NºAsuntos!G10/NºAsuntos!E10)-Datos!BD10)/Datos!BD10),((NºAsuntos!G10/NºAsuntos!E10)-Datos!BD10)/Datos!BD10," - ")</f>
        <v>0.955453149001536</v>
      </c>
      <c r="I10" s="515">
        <f>IF(ISNUMBER(((NºAsuntos!I10/NºAsuntos!G10)-Datos!BE10)/Datos!BE10),((NºAsuntos!I10/NºAsuntos!G10)-Datos!BE10)/Datos!BE10," - ")</f>
        <v>-0.49501066098081026</v>
      </c>
      <c r="J10" s="521">
        <f>IF(ISNUMBER((('Resol  Asuntos'!D10/NºAsuntos!G10)-Datos!BF10)/Datos!BF10),(('Resol  Asuntos'!D10/NºAsuntos!G10)-Datos!BF10)/Datos!BF10," - ")</f>
        <v>-0.49525101763907742</v>
      </c>
      <c r="K10" s="522">
        <f>IF(ISNUMBER((((NºAsuntos!C10+NºAsuntos!E10)/NºAsuntos!G10)-Datos!BG10)/Datos!BG10),(((NºAsuntos!C10+NºAsuntos!E10)/NºAsuntos!G10)-Datos!BG10)/Datos!BG10," - ")</f>
        <v>-0.42051876539631938</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-9.8643649815043158E-2</v>
      </c>
      <c r="C11" s="515">
        <f>IF(ISNUMBER(
   IF(J_V="SI",(Datos!J11-Datos!T11)/Datos!T11,(Datos!J11+Datos!Z11-(Datos!T11+Datos!AH11))/(Datos!T11+Datos!AH11))
     ),IF(J_V="SI",(Datos!J11-Datos!T11)/Datos!T11,(Datos!J11+Datos!Z11-(Datos!T11+Datos!AH11))/(Datos!T11+Datos!AH11))," - ")</f>
        <v>-5.6504599211563734E-2</v>
      </c>
      <c r="D11" s="515">
        <f>IF(ISNUMBER(
   IF(J_V="SI",(Datos!K11-Datos!U11)/Datos!U11,(Datos!K11+Datos!AA11-(Datos!U11+Datos!AI11))/(Datos!U11+Datos!AI11))
     ),IF(J_V="SI",(Datos!K11-Datos!U11)/Datos!U11,(Datos!K11+Datos!AA11-(Datos!U11+Datos!AI11))/(Datos!U11+Datos!AI11))," - ")</f>
        <v>-6.4398541919805583E-2</v>
      </c>
      <c r="E11" s="515">
        <f>IF(ISNUMBER(
   IF(J_V="SI",(Datos!L11-Datos!V11)/Datos!V11,(Datos!L11+Datos!AB11-(Datos!V11+Datos!AJ11))/(Datos!V11+Datos!AJ11))
     ),IF(J_V="SI",(Datos!L11-Datos!V11)/Datos!V11,(Datos!L11+Datos!AB11-(Datos!V11+Datos!AJ11))/(Datos!V11+Datos!AJ11))," - ")</f>
        <v>-9.358974358974359E-2</v>
      </c>
      <c r="F11" s="515">
        <f>IF(ISNUMBER((Datos!M11-Datos!W11)/Datos!W11),(Datos!M11-Datos!W11)/Datos!W11," - ")</f>
        <v>0.24701195219123506</v>
      </c>
      <c r="G11" s="516">
        <f>IF(ISNUMBER((Datos!N11-Datos!X11)/Datos!X11),(Datos!N11-Datos!X11)/Datos!X11," - ")</f>
        <v>-0.1773049645390071</v>
      </c>
      <c r="H11" s="514">
        <f>IF(ISNUMBER(((NºAsuntos!G11/NºAsuntos!E11)-Datos!BD11)/Datos!BD11),((NºAsuntos!G11/NºAsuntos!E11)-Datos!BD11)/Datos!BD11," - ")</f>
        <v>-8.3666997228021931E-3</v>
      </c>
      <c r="I11" s="515">
        <f>IF(ISNUMBER(((NºAsuntos!I11/NºAsuntos!G11)-Datos!BE11)/Datos!BE11),((NºAsuntos!I11/NºAsuntos!G11)-Datos!BE11)/Datos!BE11," - ")</f>
        <v>-3.1200466200466154E-2</v>
      </c>
      <c r="J11" s="521">
        <f>IF(ISNUMBER((('Resol  Asuntos'!D11/NºAsuntos!G11)-Datos!BF11)/Datos!BF11),(('Resol  Asuntos'!D11/NºAsuntos!G11)-Datos!BF11)/Datos!BF11," - ")</f>
        <v>-0.20911547081759838</v>
      </c>
      <c r="K11" s="522">
        <f>IF(ISNUMBER((((NºAsuntos!C11+NºAsuntos!E11)/NºAsuntos!G11)-Datos!BG11)/Datos!BG11),(((NºAsuntos!C11+NºAsuntos!E11)/NºAsuntos!G11)-Datos!BG11)/Datos!BG11," - ")</f>
        <v>-2.2219073415044924E-2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-5.7854790204783048E-2</v>
      </c>
      <c r="C14" s="1152">
        <f>IF(ISNUMBER(
   IF(J_V="SI",(Datos!J14-Datos!T14)/Datos!T14,(Datos!J14+Datos!Z14-(Datos!T14+Datos!AH14))/(Datos!T14+Datos!AH14))
     ),IF(J_V="SI",(Datos!J14-Datos!T14)/Datos!T14,(Datos!J14+Datos!Z14-(Datos!T14+Datos!AH14))/(Datos!T14+Datos!AH14))," - ")</f>
        <v>8.2642343836373686E-2</v>
      </c>
      <c r="D14" s="1152">
        <f>IF(ISNUMBER(
   IF(J_V="SI",(Datos!K14-Datos!U14)/Datos!U14,(Datos!K14+Datos!AA14-(Datos!U14+Datos!AI14))/(Datos!U14+Datos!AI14))
     ),IF(J_V="SI",(Datos!K14-Datos!U14)/Datos!U14,(Datos!K14+Datos!AA14-(Datos!U14+Datos!AI14))/(Datos!U14+Datos!AI14))," - ")</f>
        <v>2.4165082812924246E-2</v>
      </c>
      <c r="E14" s="1152">
        <f>IF(ISNUMBER(
   IF(J_V="SI",(Datos!L14-Datos!V14)/Datos!V14,(Datos!L14+Datos!AB14-(Datos!V14+Datos!AJ14))/(Datos!V14+Datos!AJ14))
     ),IF(J_V="SI",(Datos!L14-Datos!V14)/Datos!V14,(Datos!L14+Datos!AB14-(Datos!V14+Datos!AJ14))/(Datos!V14+Datos!AJ14))," - ")</f>
        <v>-4.2658801525070136E-2</v>
      </c>
      <c r="F14" s="1153">
        <f>IF(ISNUMBER((Datos!M14-Datos!W14)/Datos!W14),(Datos!M14-Datos!W14)/Datos!W14," - ")</f>
        <v>5.7046979865771813E-2</v>
      </c>
      <c r="G14" s="1154">
        <f>IF(ISNUMBER((Datos!N14-Datos!X14)/Datos!X14),(Datos!N14-Datos!X14)/Datos!X14," - ")</f>
        <v>3.9888033589923023E-2</v>
      </c>
      <c r="H14" s="1154">
        <f>IF(ISNUMBER(((NºAsuntos!G14/NºAsuntos!E14)-Datos!BD14)/Datos!BD14),((NºAsuntos!G14/NºAsuntos!E14)-Datos!BD14)/Datos!BD14," - ")</f>
        <v>-5.4013461930773561E-2</v>
      </c>
      <c r="I14" s="1154">
        <f>IF(ISNUMBER(((NºAsuntos!I14/NºAsuntos!G14)-Datos!BE14)/Datos!BE14),((NºAsuntos!I14/NºAsuntos!G14)-Datos!BE14)/Datos!BE14," - ")</f>
        <v>-6.5247180810401234E-2</v>
      </c>
      <c r="J14" s="1154">
        <f>IF(ISNUMBER((('Resol  Asuntos'!D14/NºAsuntos!G14)-Datos!BF14)/Datos!BF14),(('Resol  Asuntos'!D14/NºAsuntos!G14)-Datos!BF14)/Datos!BF14," - ")</f>
        <v>-0.35475327959421288</v>
      </c>
      <c r="K14" s="1154">
        <f>IF(ISNUMBER((((NºAsuntos!C14+NºAsuntos!E14)/NºAsuntos!G14)-Datos!BG14)/Datos!BG14),(((NºAsuntos!C14+NºAsuntos!E14)/NºAsuntos!G14)-Datos!BG14)/Datos!BG14," - ")</f>
        <v>-5.1858683228848818E-2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-3.5063113604488078E-3</v>
      </c>
      <c r="C16" s="515">
        <f>IF(ISNUMBER(
   IF(D_I="SI",(Datos!J16-Datos!T16)/Datos!T16,(Datos!J16+Datos!AD16-(Datos!T16+Datos!AL16))/(Datos!T16+Datos!AL16))
     ),IF(D_I="SI",(Datos!J16-Datos!T16)/Datos!T16,(Datos!J16+Datos!AD16-(Datos!T16+Datos!AL16))/(Datos!T16+Datos!AL16))," - ")</f>
        <v>-6.7019950124688277E-3</v>
      </c>
      <c r="D16" s="515">
        <f>IF(ISNUMBER(
   IF(D_I="SI",(Datos!K16-Datos!U16)/Datos!U16,(Datos!K16+Datos!AE16-(Datos!U16+Datos!AM16))/(Datos!U16+Datos!AM16))
     ),IF(D_I="SI",(Datos!K16-Datos!U16)/Datos!U16,(Datos!K16+Datos!AE16-(Datos!U16+Datos!AM16))/(Datos!U16+Datos!AM16))," - ")</f>
        <v>-3.5159315649034691E-2</v>
      </c>
      <c r="E16" s="515">
        <f>IF(ISNUMBER(
   IF(D_I="SI",(Datos!L16-Datos!V16)/Datos!V16,(Datos!L16+Datos!AF16-(Datos!V16+Datos!AN16))/(Datos!V16+Datos!AN16))
     ),IF(D_I="SI",(Datos!L16-Datos!V16)/Datos!V16,(Datos!L16+Datos!AF16-(Datos!V16+Datos!AN16))/(Datos!V16+Datos!AN16))," - ")</f>
        <v>4.5439578531445507E-2</v>
      </c>
      <c r="F16" s="515">
        <f>IF(ISNUMBER((Datos!M16-Datos!W16)/Datos!W16),(Datos!M16-Datos!W16)/Datos!W16," - ")</f>
        <v>-5.6092843326885883E-2</v>
      </c>
      <c r="G16" s="516">
        <f>IF(ISNUMBER((Datos!N16-Datos!X16)/Datos!X16),(Datos!N16-Datos!X16)/Datos!X16," - ")</f>
        <v>-6.7669172932330823E-2</v>
      </c>
      <c r="H16" s="514">
        <f>IF(ISNUMBER(((NºAsuntos!G16/NºAsuntos!E16)-Datos!BD16)/Datos!BD16),((NºAsuntos!G16/NºAsuntos!E16)-Datos!BD16)/Datos!BD16," - ")</f>
        <v>-2.8649328291888678E-2</v>
      </c>
      <c r="I16" s="515">
        <f>IF(ISNUMBER(((NºAsuntos!I16/NºAsuntos!G16)-Datos!BE16)/Datos!BE16),((NºAsuntos!I16/NºAsuntos!G16)-Datos!BE16)/Datos!BE16," - ")</f>
        <v>8.3535961415949128E-2</v>
      </c>
      <c r="J16" s="521">
        <f>IF(ISNUMBER((('Resol  Asuntos'!D16/NºAsuntos!G16)-Datos!BF16)/Datos!BF16),(('Resol  Asuntos'!D16/NºAsuntos!G16)-Datos!BF16)/Datos!BF16," - ")</f>
        <v>-2.1696356732648421E-2</v>
      </c>
      <c r="K16" s="522">
        <f>IF(ISNUMBER((((NºAsuntos!C16+NºAsuntos!E16)/NºAsuntos!G16)-Datos!BG16)/Datos!BG16),(((NºAsuntos!C16+NºAsuntos!E16)/NºAsuntos!G16)-Datos!BG16)/Datos!BG16," - ")</f>
        <v>3.0513549528425235E-2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-3.0640668523676879E-2</v>
      </c>
      <c r="C18" s="515">
        <f>IF(ISNUMBER(
   IF(D_I="SI",(Datos!J18-Datos!T18)/Datos!T18,(Datos!J18+Datos!AD18-(Datos!T18+Datos!AL18))/(Datos!T18+Datos!AL18))
     ),IF(D_I="SI",(Datos!J18-Datos!T18)/Datos!T18,(Datos!J18+Datos!AD18-(Datos!T18+Datos!AL18))/(Datos!T18+Datos!AL18))," - ")</f>
        <v>0.30129870129870129</v>
      </c>
      <c r="D18" s="515">
        <f>IF(ISNUMBER(
   IF(D_I="SI",(Datos!K18-Datos!U18)/Datos!U18,(Datos!K18+Datos!AE18-(Datos!U18+Datos!AM18))/(Datos!U18+Datos!AM18))
     ),IF(D_I="SI",(Datos!K18-Datos!U18)/Datos!U18,(Datos!K18+Datos!AE18-(Datos!U18+Datos!AM18))/(Datos!U18+Datos!AM18))," - ")</f>
        <v>0.403954802259887</v>
      </c>
      <c r="E18" s="515">
        <f>IF(ISNUMBER(
   IF(D_I="SI",(Datos!L18-Datos!V18)/Datos!V18,(Datos!L18+Datos!AF18-(Datos!V18+Datos!AN18))/(Datos!V18+Datos!AN18))
     ),IF(D_I="SI",(Datos!L18-Datos!V18)/Datos!V18,(Datos!L18+Datos!AF18-(Datos!V18+Datos!AN18))/(Datos!V18+Datos!AN18))," - ")</f>
        <v>-9.7435897435897437E-2</v>
      </c>
      <c r="F18" s="515">
        <f>IF(ISNUMBER((Datos!M18-Datos!W18)/Datos!W18),(Datos!M18-Datos!W18)/Datos!W18," - ")</f>
        <v>7.2727272727272724E-2</v>
      </c>
      <c r="G18" s="516">
        <f>IF(ISNUMBER((Datos!N18-Datos!X18)/Datos!X18),(Datos!N18-Datos!X18)/Datos!X18," - ")</f>
        <v>0.12592592592592591</v>
      </c>
      <c r="H18" s="514">
        <f>IF(ISNUMBER(((NºAsuntos!G18/NºAsuntos!E18)-Datos!BD18)/Datos!BD18),((NºAsuntos!G18/NºAsuntos!E18)-Datos!BD18)/Datos!BD18," - ")</f>
        <v>7.8887422894324391E-2</v>
      </c>
      <c r="I18" s="515">
        <f>IF(ISNUMBER(((NºAsuntos!I18/NºAsuntos!G18)-Datos!BE18)/Datos!BE18),((NºAsuntos!I18/NºAsuntos!G18)-Datos!BE18)/Datos!BE18," - ")</f>
        <v>-0.35712737966259095</v>
      </c>
      <c r="J18" s="521">
        <f>IF(ISNUMBER((('Resol  Asuntos'!D18/NºAsuntos!G18)-Datos!BF18)/Datos!BF18),(('Resol  Asuntos'!D18/NºAsuntos!G18)-Datos!BF18)/Datos!BF18," - ")</f>
        <v>-0.23592463874154021</v>
      </c>
      <c r="K18" s="522">
        <f>IF(ISNUMBER((((NºAsuntos!C18+NºAsuntos!E18)/NºAsuntos!G18)-Datos!BG18)/Datos!BG18),(((NºAsuntos!C18+NºAsuntos!E18)/NºAsuntos!G18)-Datos!BG18)/Datos!BG18," - ")</f>
        <v>-0.18720386837151951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-6.5400186857676734E-3</v>
      </c>
      <c r="C23" s="1152">
        <f>IF(ISNUMBER(
   IF(Criterios!B14="SI",(Datos!J23-Datos!T23)/Datos!T23,(Datos!J23+Datos!AD23-(Datos!T23+Datos!AL23))/(Datos!T23+Datos!AL23))
     ),IF(Criterios!B14="SI",(Datos!J23-Datos!T23)/Datos!T23,(Datos!J23+Datos!AD23-(Datos!T23+Datos!AL23))/(Datos!T23+Datos!AL23))," - ")</f>
        <v>1.0733715630054404E-2</v>
      </c>
      <c r="D23" s="1152">
        <f>IF(ISNUMBER(
   IF(Criterios!B14="SI",(Datos!K23-Datos!U23)/Datos!U23,(Datos!K23+Datos!AE23-(Datos!U23+Datos!AM23))/(Datos!U23+Datos!AM23))
     ),IF(Criterios!B14="SI",(Datos!K23-Datos!U23)/Datos!U23,(Datos!K23+Datos!AE23-(Datos!U23+Datos!AM23))/(Datos!U23+Datos!AM23))," - ")</f>
        <v>-1.2044609665427509E-2</v>
      </c>
      <c r="E23" s="1152">
        <f>IF(ISNUMBER(
   IF(Criterios!B14="SI",(Datos!L23-Datos!V23)/Datos!V23,(Datos!L23+Datos!AF23-(Datos!V23+Datos!AN23))/(Datos!V23+Datos!AN23))
     ),IF(Criterios!B14="SI",(Datos!L23-Datos!V23)/Datos!V23,(Datos!L23+Datos!AF23-(Datos!V23+Datos!AN23))/(Datos!V23+Datos!AN23))," - ")</f>
        <v>2.9180040852057193E-2</v>
      </c>
      <c r="F23" s="1153">
        <f>IF(ISNUMBER((Datos!M23-Datos!W23)/Datos!W23),(Datos!M23-Datos!W23)/Datos!W23," - ")</f>
        <v>-4.3706293706293704E-2</v>
      </c>
      <c r="G23" s="1154">
        <f>IF(ISNUMBER((Datos!N23-Datos!X23)/Datos!X23),(Datos!N23-Datos!X23)/Datos!X23," - ")</f>
        <v>-6.2057118316512776E-2</v>
      </c>
      <c r="H23" s="1154">
        <f>IF(ISNUMBER(((NºAsuntos!G23/NºAsuntos!E23)-Datos!BD23)/Datos!BD23),((NºAsuntos!G23/NºAsuntos!E23)-Datos!BD23)/Datos!BD23," - ")</f>
        <v>-2.2536425710586637E-2</v>
      </c>
      <c r="I23" s="1154">
        <f>IF(ISNUMBER(((NºAsuntos!I23/NºAsuntos!G23)-Datos!BE23)/Datos!BE23),((NºAsuntos!I23/NºAsuntos!G23)-Datos!BE23)/Datos!BE23," - ")</f>
        <v>4.1727238821505863E-2</v>
      </c>
      <c r="J23" s="1154">
        <f>IF(ISNUMBER((('Resol  Asuntos'!D23/NºAsuntos!G23)-Datos!BF23)/Datos!BF23),(('Resol  Asuntos'!D23/NºAsuntos!G23)-Datos!BF23)/Datos!BF23," - ")</f>
        <v>-3.2047685908312015E-2</v>
      </c>
      <c r="K23" s="1154">
        <f>IF(ISNUMBER((((NºAsuntos!C23+NºAsuntos!E23)/NºAsuntos!G23)-Datos!BG23)/Datos!BG23),(((NºAsuntos!C23+NºAsuntos!E23)/NºAsuntos!G23)-Datos!BG23)/Datos!BG23," - ")</f>
        <v>1.7448537973576792E-2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-4.8262211096233333E-2</v>
      </c>
      <c r="C31" s="1092">
        <f>IF(ISNUMBER(
   IF(J_V="SI",(Datos!J31-Datos!T31)/Datos!T31,(Datos!J31+Datos!Z31-(Datos!T31+Datos!AH31))/(Datos!T31+Datos!AH31))
     ),IF(J_V="SI",(Datos!J31-Datos!T31)/Datos!T31,(Datos!J31+Datos!Z31-(Datos!T31+Datos!AH31))/(Datos!T31+Datos!AH31))," - ")</f>
        <v>3.5704002303484021E-2</v>
      </c>
      <c r="D31" s="1092">
        <f>IF(ISNUMBER(
   IF(J_V="SI",(Datos!K31-Datos!U31)/Datos!U31,(Datos!K31+Datos!AA31-(Datos!U31+Datos!AI31))/(Datos!U31+Datos!AI31))
     ),IF(J_V="SI",(Datos!K31-Datos!U31)/Datos!U31,(Datos!K31+Datos!AA31-(Datos!U31+Datos!AI31))/(Datos!U31+Datos!AI31))," - ")</f>
        <v>7.6863950807071484E-4</v>
      </c>
      <c r="E31" s="1092">
        <f>IF(ISNUMBER(
   IF(J_V="SI",(Datos!L31-Datos!V31)/Datos!V31,(Datos!L31+Datos!AB31-(Datos!V31+Datos!AJ31))/(Datos!V31+Datos!AJ31))
     ),IF(J_V="SI",(Datos!L31-Datos!V31)/Datos!V31,(Datos!L31+Datos!AB31-(Datos!V31+Datos!AJ31))/(Datos!V31+Datos!AJ31))," - ")</f>
        <v>-2.8451061865189288E-2</v>
      </c>
      <c r="F31" s="1093">
        <f>IF(ISNUMBER((Datos!M31-Datos!W31)/Datos!W31),(Datos!M31-Datos!W31)/Datos!W31," - ")</f>
        <v>1.7735334242837655E-2</v>
      </c>
      <c r="G31" s="1094">
        <f>IF(ISNUMBER((Datos!N31-Datos!X31)/Datos!X31),(Datos!N31-Datos!X31)/Datos!X31," - ")</f>
        <v>-3.8120276043378247E-2</v>
      </c>
      <c r="H31" s="1095">
        <f>IF(ISNUMBER((Tasas!B31-Datos!BD31)/Datos!BD31),(Tasas!B31-Datos!BD31)/Datos!BD31," - ")</f>
        <v>-3.3731030021815489E-2</v>
      </c>
      <c r="I31" s="1096">
        <f>IF(ISNUMBER((Tasas!C31-Datos!BE31)/Datos!BE31),(Tasas!C31-Datos!BE31)/Datos!BE31," - ")</f>
        <v>-2.9197259206306624E-2</v>
      </c>
      <c r="J31" s="1097">
        <f>IF(ISNUMBER((Tasas!D31-Datos!BF31)/Datos!BF31),(Tasas!D31-Datos!BF31)/Datos!BF31," - ")</f>
        <v>-0.25531764702271609</v>
      </c>
      <c r="K31" s="1097">
        <f>IF(ISNUMBER((Tasas!E31-Datos!BG31)/Datos!BG31),(Tasas!E31-Datos!BG31)/Datos!BG31," - ")</f>
        <v>-1.731570104440882E-2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auBj/hir3BdFTdcFJePLIb/4v49KBFRktoNywpaXaVyf9d8f/DnpHHDSPMJMsFVAnUinUqutwbo+K3GpNbTHw==" saltValue="FkkMZJknT8qK1/70nt2v3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CORDOBA</v>
      </c>
    </row>
    <row r="4" spans="1:7" ht="11.25" customHeight="1" thickBot="1">
      <c r="B4" s="439" t="str">
        <f>Criterios!A11 &amp;"  "&amp;Criterios!B11</f>
        <v>Resumenes por Partidos Judiciales  CORDOBA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0.93590561224489799</v>
      </c>
      <c r="C9" s="498">
        <f>IF(ISNUMBER(NºAsuntos!I9/NºAsuntos!G9),NºAsuntos!I9/NºAsuntos!G9," - ")</f>
        <v>3.9873935264054516</v>
      </c>
      <c r="D9" s="499">
        <f>IF(ISNUMBER('Resol  Asuntos'!D9/NºAsuntos!G9),'Resol  Asuntos'!D9/NºAsuntos!G9," - ")</f>
        <v>0.21124361158432708</v>
      </c>
      <c r="E9" s="500">
        <f>IF(ISNUMBER((NºAsuntos!C9+NºAsuntos!E9)/NºAsuntos!G9),(NºAsuntos!C9+NºAsuntos!E9)/NºAsuntos!G9," - ")</f>
        <v>4.9870528109028962</v>
      </c>
      <c r="G9" s="523"/>
    </row>
    <row r="10" spans="1:7">
      <c r="A10" s="450" t="str">
        <f>Datos!A10</f>
        <v>Jdos. Violencia contra la mujer</v>
      </c>
      <c r="B10" s="497">
        <f>IF(ISNUMBER(NºAsuntos!G10/NºAsuntos!E10),NºAsuntos!G10/NºAsuntos!E10," - ")</f>
        <v>1.0634920634920635</v>
      </c>
      <c r="C10" s="498">
        <f>IF(ISNUMBER(NºAsuntos!I10/NºAsuntos!G10),NºAsuntos!I10/NºAsuntos!G10," - ")</f>
        <v>2.8507462686567164</v>
      </c>
      <c r="D10" s="499">
        <f>IF(ISNUMBER('Resol  Asuntos'!D10/NºAsuntos!G10),'Resol  Asuntos'!D10/NºAsuntos!G10," - ")</f>
        <v>0.17910447761194029</v>
      </c>
      <c r="E10" s="500">
        <f>IF(ISNUMBER((NºAsuntos!C10+NºAsuntos!E10)/NºAsuntos!G10),(NºAsuntos!C10+NºAsuntos!E10)/NºAsuntos!G10," - ")</f>
        <v>3.8507462686567164</v>
      </c>
      <c r="G10" s="523"/>
    </row>
    <row r="11" spans="1:7">
      <c r="A11" s="450" t="str">
        <f>Datos!A11</f>
        <v xml:space="preserve">Jdos. Familia                                   </v>
      </c>
      <c r="B11" s="497">
        <f>IF(ISNUMBER(NºAsuntos!G11/NºAsuntos!E11),NºAsuntos!G11/NºAsuntos!E11," - ")</f>
        <v>1.0724233983286908</v>
      </c>
      <c r="C11" s="498">
        <f>IF(ISNUMBER(NºAsuntos!I11/NºAsuntos!G11),NºAsuntos!I11/NºAsuntos!G11," - ")</f>
        <v>1.8363636363636364</v>
      </c>
      <c r="D11" s="499">
        <f>IF(ISNUMBER('Resol  Asuntos'!D11/NºAsuntos!G11),'Resol  Asuntos'!D11/NºAsuntos!G11," - ")</f>
        <v>0.40649350649350652</v>
      </c>
      <c r="E11" s="500">
        <f>IF(ISNUMBER((NºAsuntos!C11+NºAsuntos!E11)/NºAsuntos!G11),(NºAsuntos!C11+NºAsuntos!E11)/NºAsuntos!G11," - ")</f>
        <v>2.831168831168831</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0.96298187388307377</v>
      </c>
      <c r="C14" s="1156">
        <f>IF(ISNUMBER(NºAsuntos!I14/NºAsuntos!G14),NºAsuntos!I14/NºAsuntos!G14," - ")</f>
        <v>3.528101802757158</v>
      </c>
      <c r="D14" s="1157">
        <f>IF(ISNUMBER('Resol  Asuntos'!D14/NºAsuntos!G14),'Resol  Asuntos'!D14/NºAsuntos!G14," - ")</f>
        <v>0.25053022269353126</v>
      </c>
      <c r="E14" s="1158">
        <f>IF(ISNUMBER((NºAsuntos!C14+NºAsuntos!E14)/NºAsuntos!G14),(NºAsuntos!C14+NºAsuntos!E14)/NºAsuntos!G14," - ")</f>
        <v>4.5267762460233296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0.96453789424133063</v>
      </c>
      <c r="C16" s="498">
        <f>IF(ISNUMBER(NºAsuntos!I16/NºAsuntos!G16),NºAsuntos!I16/NºAsuntos!G16," - ")</f>
        <v>0.51651211973320321</v>
      </c>
      <c r="D16" s="499">
        <f>IF(ISNUMBER('Resol  Asuntos'!D16/NºAsuntos!G16),'Resol  Asuntos'!D16/NºAsuntos!G16," - ")</f>
        <v>7.938831950544982E-2</v>
      </c>
      <c r="E16" s="500">
        <f>IF(ISNUMBER((NºAsuntos!C16+NºAsuntos!E16)/NºAsuntos!G16),(NºAsuntos!C16+NºAsuntos!E16)/NºAsuntos!G16," - ")</f>
        <v>1.4991052545957377</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0.99201596806387227</v>
      </c>
      <c r="C18" s="498">
        <f>IF(ISNUMBER(NºAsuntos!I18/NºAsuntos!G18),NºAsuntos!I18/NºAsuntos!G18," - ")</f>
        <v>0.70824949698189132</v>
      </c>
      <c r="D18" s="499">
        <f>IF(ISNUMBER('Resol  Asuntos'!D18/NºAsuntos!G18),'Resol  Asuntos'!D18/NºAsuntos!G18," - ")</f>
        <v>0.11871227364185111</v>
      </c>
      <c r="E18" s="500">
        <f>IF(ISNUMBER((NºAsuntos!C18+NºAsuntos!E18)/NºAsuntos!G18),(NºAsuntos!C18+NºAsuntos!E18)/NºAsuntos!G18," - ")</f>
        <v>1.7082494969818913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0.96654058772185047</v>
      </c>
      <c r="C23" s="1156">
        <f>IF(ISNUMBER(NºAsuntos!I23/NºAsuntos!G23),NºAsuntos!I23/NºAsuntos!G23," - ")</f>
        <v>0.53085490668272128</v>
      </c>
      <c r="D23" s="1159">
        <f>IF(ISNUMBER('Resol  Asuntos'!D23/NºAsuntos!G23),'Resol  Asuntos'!D23/NºAsuntos!G23," - ")</f>
        <v>8.232992173389525E-2</v>
      </c>
      <c r="E23" s="1158">
        <f>IF(ISNUMBER((NºAsuntos!C23+NºAsuntos!E23)/NºAsuntos!G23),(NºAsuntos!C23+NºAsuntos!E23)/NºAsuntos!G23," - ")</f>
        <v>1.51475015051174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0.96524881845982768</v>
      </c>
      <c r="C31" s="1099">
        <f>IF(ISNUMBER(NºAsuntos!I31/NºAsuntos!G31),NºAsuntos!I31/NºAsuntos!G31," - ")</f>
        <v>1.616263440860215</v>
      </c>
      <c r="D31" s="1100">
        <f>IF(ISNUMBER('Resol  Asuntos'!D31/NºAsuntos!G31),'Resol  Asuntos'!D31/NºAsuntos!G31," - ")</f>
        <v>0.14324116743471582</v>
      </c>
      <c r="E31" s="1101">
        <f>IF(ISNUMBER((NºAsuntos!C31+NºAsuntos!E31)/NºAsuntos!G31),(NºAsuntos!C31+NºAsuntos!E31)/NºAsuntos!G31," - ")</f>
        <v>2.605510752688172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9CCYe0S0kuwgJSf8ljeOda0DQzE1V9YR7N7lDOn3WnxxJEIXMsDNs3xucmLuyh9OQdg5cLq0sGP49Lmbwe0w/Q==" saltValue="yq2Qd4jtHohghwzi4S7sU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CORDOBA</v>
      </c>
      <c r="N2" s="368" t="str">
        <f>Criterios!A11 &amp;"  "&amp;Criterios!B11</f>
        <v>Resumenes por Partidos Judiciales  CORDOBA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9</v>
      </c>
      <c r="B9" s="190" t="s">
        <v>321</v>
      </c>
      <c r="C9" s="173" t="str">
        <f>Datos!A9</f>
        <v xml:space="preserve">Jdos. 1ª Instancia   </v>
      </c>
      <c r="D9" s="173"/>
      <c r="E9" s="1402">
        <f>IF(ISNUMBER(Datos!AQ9),Datos!AQ9," - ")</f>
        <v>9</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852</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1047</v>
      </c>
      <c r="Y9" s="374">
        <f>SUM(W9:X9)</f>
        <v>1047</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14395</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620</v>
      </c>
      <c r="AJ9" s="243" t="str">
        <f>IF(ISNUMBER(Datos!BW9),Datos!BW9," - ")</f>
        <v xml:space="preserve"> - </v>
      </c>
      <c r="AK9" s="242" t="str">
        <f>IF(ISNUMBER(Datos!BX9),Datos!BX9," - ")</f>
        <v xml:space="preserve"> - </v>
      </c>
      <c r="AL9" s="266">
        <f>IF(ISNUMBER(NºAsuntos!G9/NºAsuntos!E9),NºAsuntos!G9/NºAsuntos!E9," - ")</f>
        <v>0.93590561224489799</v>
      </c>
      <c r="AM9" s="284">
        <f>IF(ISNUMBER(((NºAsuntos!I9/NºAsuntos!G9)*11)/factor_trimestre),((NºAsuntos!I9/NºAsuntos!G9)*11)/factor_trimestre," - ")</f>
        <v>7.9747870528109024</v>
      </c>
      <c r="AN9" s="267">
        <f>IF(ISNUMBER('Resol  Asuntos'!D9/NºAsuntos!G9),'Resol  Asuntos'!D9/NºAsuntos!G9," - ")</f>
        <v>0.21124361158432708</v>
      </c>
      <c r="AO9" s="268">
        <f>IF(ISNUMBER((NºAsuntos!C9+NºAsuntos!E9)/NºAsuntos!G9),(NºAsuntos!C9+NºAsuntos!E9)/NºAsuntos!G9," - ")</f>
        <v>4.9870528109028962</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2</v>
      </c>
      <c r="B10" s="300" t="s">
        <v>321</v>
      </c>
      <c r="C10" s="7" t="str">
        <f>Datos!A10</f>
        <v>Jdos. Violencia contra la mujer</v>
      </c>
      <c r="D10" s="7"/>
      <c r="E10" s="1402">
        <f>IF(ISNUMBER(Datos!AQ10),Datos!AQ10," - ")</f>
        <v>1</v>
      </c>
      <c r="F10" s="239">
        <f>IF(ISNUMBER(Datos!L10+Datos!K10-Datos!J10-K10),Datos!L10+Datos!K10-Datos!J10-K10," - ")</f>
        <v>195</v>
      </c>
      <c r="G10" s="373">
        <f>IF(ISNUMBER(Datos!I10),Datos!I10," - ")</f>
        <v>195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17</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67</v>
      </c>
      <c r="X10" s="240">
        <f>IF(ISNUMBER(Datos!Q10),Datos!Q10," - ")</f>
        <v>5</v>
      </c>
      <c r="Y10" s="374">
        <f t="shared" ref="Y10:Y13" si="0">SUM(W10:X10)</f>
        <v>72</v>
      </c>
      <c r="Z10" s="375" t="str">
        <f>IF(ISNUMBER(Datos!CC10),Datos!CC10," - ")</f>
        <v xml:space="preserve"> - </v>
      </c>
      <c r="AA10" s="372">
        <f>IF(ISNUMBER(Datos!L10),Datos!L10,"-")</f>
        <v>191</v>
      </c>
      <c r="AB10" s="374">
        <f>IF(ISNUMBER(Datos!R10),Datos!R10," - ")</f>
        <v>176</v>
      </c>
      <c r="AC10" s="374">
        <f t="shared" ref="AC10:AC13" si="1">IF(ISNUMBER(AA10+AB10),AA10+AB10," - ")</f>
        <v>367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12</v>
      </c>
      <c r="AJ10" s="245" t="str">
        <f>IF(ISNUMBER(Datos!BW10),Datos!BW10," - ")</f>
        <v xml:space="preserve"> - </v>
      </c>
      <c r="AK10" s="246" t="str">
        <f>IF(ISNUMBER(Datos!BX10),Datos!BX10," - ")</f>
        <v xml:space="preserve"> - </v>
      </c>
      <c r="AL10" s="266">
        <f>IF(ISNUMBER(NºAsuntos!G10/NºAsuntos!E10),NºAsuntos!G10/NºAsuntos!E10," - ")</f>
        <v>1.0634920634920635</v>
      </c>
      <c r="AM10" s="284">
        <f>IF(ISNUMBER(((NºAsuntos!I10/NºAsuntos!G10)*11)/factor_trimestre),((NºAsuntos!I10/NºAsuntos!G10)*11)/factor_trimestre," - ")</f>
        <v>5.7014925373134329</v>
      </c>
      <c r="AN10" s="267">
        <f>IF(ISNUMBER('Resol  Asuntos'!D10/NºAsuntos!G10),'Resol  Asuntos'!D10/NºAsuntos!G10," - ")</f>
        <v>0.17910447761194029</v>
      </c>
      <c r="AO10" s="268">
        <f>IF(ISNUMBER((NºAsuntos!C10+NºAsuntos!E10)/NºAsuntos!G10),(NºAsuntos!C10+NºAsuntos!E10)/NºAsuntos!G10," - ")</f>
        <v>3.8507462686567164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321</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75</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158</v>
      </c>
      <c r="Y11" s="374">
        <f t="shared" si="0"/>
        <v>158</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949</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313</v>
      </c>
      <c r="AJ11" s="245" t="str">
        <f>IF(ISNUMBER(Datos!BW11),Datos!BW11," - ")</f>
        <v xml:space="preserve"> - </v>
      </c>
      <c r="AK11" s="246" t="str">
        <f>IF(ISNUMBER(Datos!BX11),Datos!BX11," - ")</f>
        <v xml:space="preserve"> - </v>
      </c>
      <c r="AL11" s="266">
        <f>IF(ISNUMBER(NºAsuntos!G11/NºAsuntos!E11),NºAsuntos!G11/NºAsuntos!E11," - ")</f>
        <v>1.0724233983286908</v>
      </c>
      <c r="AM11" s="284">
        <f>IF(ISNUMBER(((NºAsuntos!I11/NºAsuntos!G11)*11)/factor_trimestre),((NºAsuntos!I11/NºAsuntos!G11)*11)/factor_trimestre," - ")</f>
        <v>3.6727272727272724</v>
      </c>
      <c r="AN11" s="267">
        <f>IF(ISNUMBER('Resol  Asuntos'!D11/NºAsuntos!G11),'Resol  Asuntos'!D11/NºAsuntos!G11," - ")</f>
        <v>0.40649350649350652</v>
      </c>
      <c r="AO11" s="268">
        <f>IF(ISNUMBER((NºAsuntos!C11+NºAsuntos!E11)/NºAsuntos!G11),(NºAsuntos!C11+NºAsuntos!E11)/NºAsuntos!G11," - ")</f>
        <v>2.831168831168831</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12</v>
      </c>
      <c r="F14" s="1162">
        <f t="shared" si="5"/>
        <v>195</v>
      </c>
      <c r="G14" s="1163">
        <f t="shared" si="5"/>
        <v>195</v>
      </c>
      <c r="H14" s="1162">
        <f t="shared" si="5"/>
        <v>0</v>
      </c>
      <c r="I14" s="1164">
        <f t="shared" si="5"/>
        <v>0</v>
      </c>
      <c r="J14" s="1164">
        <f t="shared" si="5"/>
        <v>0</v>
      </c>
      <c r="K14" s="1164">
        <f t="shared" si="5"/>
        <v>0</v>
      </c>
      <c r="L14" s="1164">
        <f t="shared" si="5"/>
        <v>944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67</v>
      </c>
      <c r="X14" s="1164">
        <f t="shared" si="6"/>
        <v>1210</v>
      </c>
      <c r="Y14" s="1165">
        <f t="shared" si="6"/>
        <v>1277</v>
      </c>
      <c r="Z14" s="1165">
        <f t="shared" si="6"/>
        <v>0</v>
      </c>
      <c r="AA14" s="1165">
        <f t="shared" si="6"/>
        <v>191</v>
      </c>
      <c r="AB14" s="1165">
        <f t="shared" si="6"/>
        <v>15520</v>
      </c>
      <c r="AC14" s="1165">
        <f t="shared" si="6"/>
        <v>367</v>
      </c>
      <c r="AD14" s="1165">
        <f t="shared" si="6"/>
        <v>0</v>
      </c>
      <c r="AE14" s="1169">
        <f t="shared" si="6"/>
        <v>0</v>
      </c>
      <c r="AF14" s="1162">
        <f t="shared" si="6"/>
        <v>0</v>
      </c>
      <c r="AG14" s="1170">
        <f t="shared" si="6"/>
        <v>0</v>
      </c>
      <c r="AH14" s="1167">
        <f t="shared" si="6"/>
        <v>0</v>
      </c>
      <c r="AI14" s="1162">
        <f t="shared" si="6"/>
        <v>945</v>
      </c>
      <c r="AJ14" s="1164">
        <f t="shared" si="6"/>
        <v>0</v>
      </c>
      <c r="AK14" s="1167">
        <f>SUBTOTAL(9,AK9:AK13)</f>
        <v>0</v>
      </c>
      <c r="AL14" s="1171">
        <f>IF(ISNUMBER(NºAsuntos!G14/NºAsuntos!E14),NºAsuntos!G14/NºAsuntos!E14," - ")</f>
        <v>0.96298187388307377</v>
      </c>
      <c r="AM14" s="1171">
        <f>IF(ISNUMBER(((NºAsuntos!I14/NºAsuntos!G14)*11)/factor_trimestre),((NºAsuntos!I14/NºAsuntos!G14)*11)/factor_trimestre," - ")</f>
        <v>7.056203605514316</v>
      </c>
      <c r="AN14" s="1172">
        <f>IF(ISNUMBER('Resol  Asuntos'!D14/NºAsuntos!G14),'Resol  Asuntos'!D14/NºAsuntos!G14," - ")</f>
        <v>0.25053022269353126</v>
      </c>
      <c r="AO14" s="1173">
        <f>IF(ISNUMBER((NºAsuntos!C14+NºAsuntos!E14)/NºAsuntos!G14),(NºAsuntos!C14+NºAsuntos!E14)/NºAsuntos!G14," - ")</f>
        <v>4.5267762460233296</v>
      </c>
      <c r="AP14" s="1174" t="str">
        <f t="shared" si="2"/>
        <v xml:space="preserve"> - </v>
      </c>
      <c r="AQ14" s="1174">
        <f>IF(ISNUMBER((H14-W14+K14)/(F14)),(H14-W14+K14)/(F14)," - ")</f>
        <v>-0.34358974358974359</v>
      </c>
      <c r="AR14" s="1175">
        <f>IF(ISNUMBER((Datos!P14-Datos!Q14)/(Datos!R14-Datos!P14+Datos!Q14)),(Datos!P14-Datos!Q14)/(Datos!R14-Datos!P14+Datos!Q14)," - ")</f>
        <v>-1.6850373748891423E-2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8</v>
      </c>
      <c r="B16" s="300" t="s">
        <v>511</v>
      </c>
      <c r="C16" s="173" t="str">
        <f>Datos!A16</f>
        <v xml:space="preserve">Jdos. Instrucción                               </v>
      </c>
      <c r="D16" s="173"/>
      <c r="E16" s="1402">
        <f>IF(ISNUMBER(Datos!AQ16),Datos!AQ16," - ")</f>
        <v>8</v>
      </c>
      <c r="F16" s="239">
        <f>IF(ISNUMBER(AA16+W16-Datos!J16-K16),AA16+W16-Datos!J16-K16," - ")</f>
        <v>2949</v>
      </c>
      <c r="G16" s="373">
        <f>IF(ISNUMBER(IF(D_I="SI",Datos!I16,Datos!I16+Datos!AC16)),IF(D_I="SI",Datos!I16,Datos!I16+Datos!AC16)," - ")</f>
        <v>2842</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170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6147</v>
      </c>
      <c r="X16" s="240">
        <f>IF(ISNUMBER(Datos!Q16),Datos!Q16," - ")</f>
        <v>150</v>
      </c>
      <c r="Y16" s="374">
        <f>SUM(W16)</f>
        <v>6147</v>
      </c>
      <c r="Z16" s="375" t="str">
        <f>IF(ISNUMBER(Datos!CC16),Datos!CC16," - ")</f>
        <v xml:space="preserve"> - </v>
      </c>
      <c r="AA16" s="372">
        <f>IF(ISNUMBER(IF(D_I="SI",Datos!L16,Datos!L16+Datos!AF16)),IF(D_I="SI",Datos!L16,Datos!L16+Datos!AF16)," - ")</f>
        <v>3175</v>
      </c>
      <c r="AB16" s="374">
        <f>IF(ISNUMBER(Datos!R16),Datos!R16," - ")</f>
        <v>618</v>
      </c>
      <c r="AC16" s="374">
        <f t="shared" ref="AC16:AC22" si="8">IF(ISNUMBER(AA16+AB16),AA16+AB16," - ")</f>
        <v>3793</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488</v>
      </c>
      <c r="AJ16" s="245" t="str">
        <f>IF(ISNUMBER(Datos!BW16),Datos!BW16," - ")</f>
        <v xml:space="preserve"> - </v>
      </c>
      <c r="AK16" s="246" t="str">
        <f>IF(ISNUMBER(Datos!BX16),Datos!BX16," - ")</f>
        <v xml:space="preserve"> - </v>
      </c>
      <c r="AL16" s="266">
        <f>IF(ISNUMBER(NºAsuntos!G16/NºAsuntos!E16),NºAsuntos!G16/NºAsuntos!E16," - ")</f>
        <v>0.96453789424133063</v>
      </c>
      <c r="AM16" s="284">
        <f>IF(ISNUMBER(((NºAsuntos!I16/NºAsuntos!G16)*11)/factor_trimestre),((NºAsuntos!I16/NºAsuntos!G16)*11)/factor_trimestre," - ")</f>
        <v>1.0330242394664064</v>
      </c>
      <c r="AN16" s="267">
        <f>IF(ISNUMBER('Resol  Asuntos'!D16/NºAsuntos!G16),'Resol  Asuntos'!D16/NºAsuntos!G16," - ")</f>
        <v>7.938831950544982E-2</v>
      </c>
      <c r="AO16" s="268">
        <f>IF(ISNUMBER((NºAsuntos!C16+NºAsuntos!E16)/NºAsuntos!G16),(NºAsuntos!C16+NºAsuntos!E16)/NºAsuntos!G16," - ")</f>
        <v>1.4991052545957377</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2</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348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497</v>
      </c>
      <c r="X18" s="240">
        <f>IF(ISNUMBER(Datos!Q18),Datos!Q18," - ")</f>
        <v>3</v>
      </c>
      <c r="Y18" s="374">
        <f t="shared" si="9"/>
        <v>500</v>
      </c>
      <c r="Z18" s="375" t="str">
        <f>IF(ISNUMBER(Datos!CC18),Datos!CC18," - ")</f>
        <v xml:space="preserve"> - </v>
      </c>
      <c r="AA18" s="372">
        <f>IF(ISNUMBER(Datos!L18),Datos!L18,"-")</f>
        <v>352</v>
      </c>
      <c r="AB18" s="374">
        <f>IF(ISNUMBER(Datos!R18),Datos!R18," - ")</f>
        <v>1</v>
      </c>
      <c r="AC18" s="374">
        <f t="shared" si="8"/>
        <v>353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59</v>
      </c>
      <c r="AJ18" s="245" t="str">
        <f>IF(ISNUMBER(Datos!BW18),Datos!BW18," - ")</f>
        <v xml:space="preserve"> - </v>
      </c>
      <c r="AK18" s="246" t="str">
        <f>IF(ISNUMBER(Datos!BX18),Datos!BX18," - ")</f>
        <v xml:space="preserve"> - </v>
      </c>
      <c r="AL18" s="266">
        <f>IF(ISNUMBER(NºAsuntos!G18/NºAsuntos!E18),NºAsuntos!G18/NºAsuntos!E18," - ")</f>
        <v>0.99201596806387227</v>
      </c>
      <c r="AM18" s="284">
        <f>IF(ISNUMBER(((NºAsuntos!I18/NºAsuntos!G18)*11)/factor_trimestre),((NºAsuntos!I18/NºAsuntos!G18)*11)/factor_trimestre," - ")</f>
        <v>1.4164989939637826</v>
      </c>
      <c r="AN18" s="267">
        <f>IF(ISNUMBER('Resol  Asuntos'!D18/NºAsuntos!G18),'Resol  Asuntos'!D18/NºAsuntos!G18," - ")</f>
        <v>0.11871227364185111</v>
      </c>
      <c r="AO18" s="268">
        <f>IF(ISNUMBER((NºAsuntos!C18+NºAsuntos!E18)/NºAsuntos!G18),(NºAsuntos!C18+NºAsuntos!E18)/NºAsuntos!G18," - ")</f>
        <v>1.7082494969818913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9</v>
      </c>
      <c r="F23" s="1162">
        <f>SUBTOTAL(9,F15:F22)</f>
        <v>2949</v>
      </c>
      <c r="G23" s="1163">
        <f>SUBTOTAL(9,G16:G22)</f>
        <v>3190</v>
      </c>
      <c r="H23" s="1162">
        <f t="shared" ref="H23:O23" si="13">SUBTOTAL(9,H15:H22)</f>
        <v>0</v>
      </c>
      <c r="I23" s="1164">
        <f t="shared" si="13"/>
        <v>0</v>
      </c>
      <c r="J23" s="1164">
        <f t="shared" si="13"/>
        <v>0</v>
      </c>
      <c r="K23" s="1164">
        <f t="shared" si="13"/>
        <v>0</v>
      </c>
      <c r="L23" s="1164">
        <f t="shared" si="13"/>
        <v>170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6644</v>
      </c>
      <c r="X23" s="1164">
        <f t="shared" si="14"/>
        <v>153</v>
      </c>
      <c r="Y23" s="1165">
        <f t="shared" si="14"/>
        <v>6647</v>
      </c>
      <c r="Z23" s="1165">
        <f t="shared" si="14"/>
        <v>0</v>
      </c>
      <c r="AA23" s="1165">
        <f t="shared" si="14"/>
        <v>3527</v>
      </c>
      <c r="AB23" s="1165">
        <f t="shared" si="14"/>
        <v>619</v>
      </c>
      <c r="AC23" s="1165">
        <f t="shared" si="14"/>
        <v>4146</v>
      </c>
      <c r="AD23" s="1165">
        <f t="shared" si="14"/>
        <v>0</v>
      </c>
      <c r="AE23" s="1169">
        <f t="shared" si="14"/>
        <v>0</v>
      </c>
      <c r="AF23" s="1162">
        <f t="shared" si="14"/>
        <v>0</v>
      </c>
      <c r="AG23" s="1170">
        <f t="shared" si="14"/>
        <v>0</v>
      </c>
      <c r="AH23" s="1167">
        <f t="shared" si="14"/>
        <v>0</v>
      </c>
      <c r="AI23" s="1162">
        <f t="shared" si="14"/>
        <v>547</v>
      </c>
      <c r="AJ23" s="1164">
        <f t="shared" si="14"/>
        <v>0</v>
      </c>
      <c r="AK23" s="1167">
        <f t="shared" si="14"/>
        <v>0</v>
      </c>
      <c r="AL23" s="1171">
        <f>IF(ISNUMBER(NºAsuntos!G23/NºAsuntos!E23),NºAsuntos!G23/NºAsuntos!E23," - ")</f>
        <v>0.96654058772185047</v>
      </c>
      <c r="AM23" s="1171">
        <f>IF(ISNUMBER(((NºAsuntos!I23/NºAsuntos!G23)*11)/factor_trimestre),((NºAsuntos!I23/NºAsuntos!G23)*11)/factor_trimestre," - ")</f>
        <v>1.0617098133654426</v>
      </c>
      <c r="AN23" s="1172">
        <f>IF(ISNUMBER('Resol  Asuntos'!D23/NºAsuntos!G23),'Resol  Asuntos'!D23/NºAsuntos!G23," - ")</f>
        <v>8.232992173389525E-2</v>
      </c>
      <c r="AO23" s="1173">
        <f>IF(ISNUMBER((NºAsuntos!C23+NºAsuntos!E23)/NºAsuntos!G23),(NºAsuntos!C23+NºAsuntos!E23)/NºAsuntos!G23," - ")</f>
        <v>1.51475015051174</v>
      </c>
      <c r="AP23" s="1174" t="str">
        <f t="shared" si="2"/>
        <v xml:space="preserve"> - </v>
      </c>
      <c r="AQ23" s="1174">
        <f>IF(ISNUMBER((H23-W23+K23)/(F23)),(H23-W23+K23)/(F23)," - ")</f>
        <v>-2.2529671074940656</v>
      </c>
      <c r="AR23" s="1175">
        <f>IF(ISNUMBER((Datos!P23-Datos!Q23)/(Datos!R23-Datos!P23+Datos!Q23)),(Datos!P23-Datos!Q23)/(Datos!R23-Datos!P23+Datos!Q23)," - ")</f>
        <v>2.823920265780731E-2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21</v>
      </c>
      <c r="F31" s="1117">
        <f t="shared" si="20"/>
        <v>3144</v>
      </c>
      <c r="G31" s="1118">
        <f t="shared" si="20"/>
        <v>3385</v>
      </c>
      <c r="H31" s="1117">
        <f t="shared" si="20"/>
        <v>0</v>
      </c>
      <c r="I31" s="1119">
        <f t="shared" si="20"/>
        <v>0</v>
      </c>
      <c r="J31" s="1119">
        <f t="shared" si="20"/>
        <v>0</v>
      </c>
      <c r="K31" s="1180">
        <f t="shared" si="20"/>
        <v>0</v>
      </c>
      <c r="L31" s="1119">
        <f t="shared" si="20"/>
        <v>1114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6711</v>
      </c>
      <c r="X31" s="1118">
        <f t="shared" si="21"/>
        <v>1363</v>
      </c>
      <c r="Y31" s="1125">
        <f t="shared" si="21"/>
        <v>7924</v>
      </c>
      <c r="Z31" s="1125">
        <f t="shared" si="21"/>
        <v>0</v>
      </c>
      <c r="AA31" s="1125">
        <f t="shared" si="21"/>
        <v>3718</v>
      </c>
      <c r="AB31" s="1125">
        <f t="shared" si="21"/>
        <v>16139</v>
      </c>
      <c r="AC31" s="1125">
        <f t="shared" si="21"/>
        <v>4513</v>
      </c>
      <c r="AD31" s="1125">
        <f t="shared" si="21"/>
        <v>0</v>
      </c>
      <c r="AE31" s="1127">
        <f t="shared" si="21"/>
        <v>0</v>
      </c>
      <c r="AF31" s="1128">
        <f t="shared" si="21"/>
        <v>0</v>
      </c>
      <c r="AG31" s="1129">
        <f t="shared" si="21"/>
        <v>0</v>
      </c>
      <c r="AH31" s="1127">
        <f t="shared" si="21"/>
        <v>0</v>
      </c>
      <c r="AI31" s="1117">
        <f t="shared" si="21"/>
        <v>1492</v>
      </c>
      <c r="AJ31" s="1117">
        <f t="shared" si="21"/>
        <v>0</v>
      </c>
      <c r="AK31" s="1127">
        <f t="shared" si="21"/>
        <v>0</v>
      </c>
      <c r="AL31" s="1183">
        <f>IF(ISNUMBER(NºAsuntos!G31/NºAsuntos!E31),NºAsuntos!G31/NºAsuntos!E31," - ")</f>
        <v>0.96524881845982768</v>
      </c>
      <c r="AM31" s="1184">
        <f>IF(ISNUMBER(((NºAsuntos!I31/NºAsuntos!G31)*11)/factor_trimestre),((NºAsuntos!I31/NºAsuntos!G31)*11)/factor_trimestre," - ")</f>
        <v>3.23252688172043</v>
      </c>
      <c r="AN31" s="1184">
        <f>IF(ISNUMBER('Resol  Asuntos'!D31/NºAsuntos!G31),'Resol  Asuntos'!D31/NºAsuntos!G31," - ")</f>
        <v>0.14324116743471582</v>
      </c>
      <c r="AO31" s="1185">
        <f>IF(ISNUMBER((NºAsuntos!C31+NºAsuntos!E31)/NºAsuntos!G31),(NºAsuntos!C31+NºAsuntos!E31)/NºAsuntos!G31," - ")</f>
        <v>2.605510752688172</v>
      </c>
      <c r="AP31" s="1186" t="str">
        <f t="shared" si="2"/>
        <v xml:space="preserve"> - </v>
      </c>
      <c r="AQ31" s="1187">
        <f>IF(OR(ISNUMBER(FIND("01",Criterios!A8,1)),ISNUMBER(FIND("02",Criterios!A8,1)),ISNUMBER(FIND("03",Criterios!A8,1)),ISNUMBER(FIND("04",Criterios!A8,1))),(I31-W31+K31)/(F31-K31),(H31-W31+K31)/(F31-K31))</f>
        <v>-2.1345419847328246</v>
      </c>
      <c r="AR31" s="1188">
        <f>IF(ISNUMBER((Datos!P31-Datos!Q31)/(Datos!R31-Datos!P31+Datos!Q31)),(Datos!P31-Datos!Q31)/(Datos!R31-Datos!P31+Datos!Q31)," - ")</f>
        <v>-1.5194044422748352E-2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967.14285714285711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3.966231732015514</v>
      </c>
      <c r="F33" s="276">
        <f>IF(ISNUMBER(STDEV(F8:F30)),STDEV(F8:F30),"-")</f>
        <v>1475.0883363378616</v>
      </c>
      <c r="G33" s="277">
        <f>IF(ISNUMBER(STDEV(G8:G30)),STDEV(G8:G30),"-")</f>
        <v>1408.4661194092705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3067.2627785015343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340.40604838600882</v>
      </c>
      <c r="AJ33" s="276">
        <f t="shared" si="25"/>
        <v>0</v>
      </c>
      <c r="AK33" s="278">
        <f t="shared" si="25"/>
        <v>0</v>
      </c>
      <c r="AL33" s="273">
        <f t="shared" si="25"/>
        <v>5.3138856165535722E-2</v>
      </c>
      <c r="AM33" s="274">
        <f t="shared" si="25"/>
        <v>2.9510300838583405</v>
      </c>
      <c r="AN33" s="274">
        <f t="shared" si="25"/>
        <v>0.11547899465320015</v>
      </c>
      <c r="AO33" s="275">
        <f t="shared" si="25"/>
        <v>1.4808784081953947</v>
      </c>
      <c r="AP33" s="317" t="str">
        <f t="shared" si="25"/>
        <v>-</v>
      </c>
      <c r="AQ33" s="318">
        <f t="shared" si="25"/>
        <v>1.3501336818608403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AhIEX1VDf6gVRpsNDzhNWNIupIn6tNmG3xklR+EfYtgi3lgPiDGasjoQ3LDvprS7227UxI3sUMbTddnacgS2jA==" saltValue="AVLLcXgrRDGbEhT/4y/Pi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CORDOBA</v>
      </c>
      <c r="E3" s="287"/>
    </row>
    <row r="4" spans="2:20" ht="17.25" customHeight="1" thickBot="1">
      <c r="D4" s="286" t="str">
        <f>Criterios!A11 &amp;"  "&amp;Criterios!B11</f>
        <v>Resumenes por Partidos Judiciales  CORDOBA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-1.8987341772151899E-2</v>
      </c>
      <c r="I9" s="395">
        <f>IF(ISNUMBER((Tasas!C9-Datos!BE9)/Datos!BE9),(Tasas!C9-Datos!BE9)/Datos!BE9," - ")</f>
        <v>-7.2798266792616931E-2</v>
      </c>
      <c r="J9" s="394">
        <f>IF(ISNUMBER((Tasas!D9-Datos!BF9)/Datos!BF9),(Tasas!D9-Datos!BF9)/Datos!BF9," - ")</f>
        <v>-0.39999178998789026</v>
      </c>
      <c r="K9" s="396">
        <f>IF(ISNUMBER((Tasas!E9-Datos!BG9)/Datos!BG9),(Tasas!E9-Datos!BG9)/Datos!BG9," - ")</f>
        <v>-5.9128215935692355E-2</v>
      </c>
      <c r="M9" t="e">
        <f>IF(Monitorios="SI",Datos!CE9,0)</f>
        <v>#REF!</v>
      </c>
      <c r="N9" t="e">
        <f>IF(Monitorios="SI",Datos!CF9,0)</f>
        <v>#REF!</v>
      </c>
      <c r="O9" t="e">
        <f>IF(Monitorios="SI",Datos!CG9,0)</f>
        <v>#REF!</v>
      </c>
      <c r="P9" t="e">
        <f>IF(Monitorios="SI",Datos!CH9,0)</f>
        <v>#REF!</v>
      </c>
      <c r="Q9">
        <f>IF(J_V="SI",0,Datos!AG9)</f>
        <v>276</v>
      </c>
      <c r="R9">
        <f>IF(J_V="SI",0,Datos!AH9)</f>
        <v>286</v>
      </c>
      <c r="S9">
        <f>IF(J_V="SI",0,Datos!AI9)</f>
        <v>241</v>
      </c>
      <c r="T9">
        <f>IF(J_V="SI",0,Datos!AJ9)</f>
        <v>321</v>
      </c>
    </row>
    <row r="10" spans="2:20" ht="14.25">
      <c r="B10" s="300" t="s">
        <v>321</v>
      </c>
      <c r="C10" s="7" t="str">
        <f>Datos!A10</f>
        <v>Jdos. Violencia contra la mujer</v>
      </c>
      <c r="D10" s="397">
        <f>IF(ISNUMBER((Datos!I10-Datos!S10)/Datos!S10),(Datos!I10-Datos!S10)/Datos!S10," - ")</f>
        <v>0.3087248322147651</v>
      </c>
      <c r="E10" s="393">
        <f>IF(ISNUMBER((Datos!J10-Datos!T10)/Datos!T10),(Datos!J10-Datos!T10)/Datos!T10," - ")</f>
        <v>0.10526315789473684</v>
      </c>
      <c r="F10" s="393">
        <f>IF(ISNUMBER((Datos!K10-Datos!U10)/Datos!U10),(Datos!K10-Datos!U10)/Datos!U10," - ")</f>
        <v>1.1612903225806452</v>
      </c>
      <c r="G10" s="394">
        <f>IF(ISNUMBER((Datos!L10-Datos!V10)/Datos!V10),(Datos!L10-Datos!V10)/Datos!V10," - ")</f>
        <v>9.1428571428571428E-2</v>
      </c>
      <c r="H10" s="244">
        <f>IF(ISNUMBER((Datos!M10-Datos!W10)/Datos!W10),(Datos!M10-Datos!W10)/Datos!W10," - ")</f>
        <v>9.0909090909090912E-2</v>
      </c>
      <c r="I10" s="395">
        <f>IF(ISNUMBER((Tasas!C10-Datos!BE10)/Datos!BE10),(Tasas!C10-Datos!BE10)/Datos!BE10," - ")</f>
        <v>-0.49501066098081026</v>
      </c>
      <c r="J10" s="394">
        <f>IF(ISNUMBER((Tasas!D10-Datos!BF10)/Datos!BF10),(Tasas!D10-Datos!BF10)/Datos!BF10," - ")</f>
        <v>-0.49525101763907742</v>
      </c>
      <c r="K10" s="396">
        <f>IF(ISNUMBER((Tasas!E10-Datos!BG10)/Datos!BG10),(Tasas!E10-Datos!BG10)/Datos!BG10," - ")</f>
        <v>-0.42051876539631938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0.24701195219123506</v>
      </c>
      <c r="I11" s="395">
        <f>IF(ISNUMBER((Tasas!C11-Datos!BE11)/Datos!BE11),(Tasas!C11-Datos!BE11)/Datos!BE11," - ")</f>
        <v>-3.1200466200466154E-2</v>
      </c>
      <c r="J11" s="394">
        <f>IF(ISNUMBER((Tasas!D11-Datos!BF11)/Datos!BF11),(Tasas!D11-Datos!BF11)/Datos!BF11," - ")</f>
        <v>-0.20911547081759838</v>
      </c>
      <c r="K11" s="396">
        <f>IF(ISNUMBER((Tasas!E11-Datos!BG11)/Datos!BG11),(Tasas!E11-Datos!BG11)/Datos!BG11," - ")</f>
        <v>-2.2219073415044924E-2</v>
      </c>
      <c r="M11" t="e">
        <f>IF(Monitorios="SI",Datos!CE11,0)</f>
        <v>#REF!</v>
      </c>
      <c r="N11" t="e">
        <f>IF(Monitorios="SI",Datos!CF11,0)</f>
        <v>#REF!</v>
      </c>
      <c r="O11" t="e">
        <f>IF(Monitorios="SI",Datos!CG11,0)</f>
        <v>#REF!</v>
      </c>
      <c r="P11" t="e">
        <f>IF(Monitorios="SI",Datos!CH11,0)</f>
        <v>#REF!</v>
      </c>
      <c r="Q11">
        <f>IF(J_V="SI",0,Datos!AG11)</f>
        <v>233</v>
      </c>
      <c r="R11">
        <f>IF(J_V="SI",0,Datos!AH11)</f>
        <v>232</v>
      </c>
      <c r="S11">
        <f>IF(J_V="SI",0,Datos!AI11)</f>
        <v>313</v>
      </c>
      <c r="T11">
        <f>IF(J_V="SI",0,Datos!AJ11)</f>
        <v>152</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5.7046979865771813E-2</v>
      </c>
      <c r="I14" s="402">
        <f>IF(ISNUMBER((Tasas!C14-Datos!BE14)/Datos!BE14),(Tasas!C14-Datos!BE14)/Datos!BE14," - ")</f>
        <v>-6.5247180810401234E-2</v>
      </c>
      <c r="J14" s="400">
        <f>IF(ISNUMBER((Tasas!D14-Datos!BF14)/Datos!BF14),(Tasas!D14-Datos!BF14)/Datos!BF14," - ")</f>
        <v>-0.35475327959421288</v>
      </c>
      <c r="K14" s="403">
        <f>IF(ISNUMBER((Tasas!E14-Datos!BG14)/Datos!BG14),(Tasas!E14-Datos!BG14)/Datos!BG14," - ")</f>
        <v>-5.1858683228848818E-2</v>
      </c>
      <c r="M14" t="e">
        <f>IF(Monitorios="SI",Datos!CE14,0)</f>
        <v>#REF!</v>
      </c>
      <c r="N14" t="e">
        <f>IF(Monitorios="SI",Datos!CF14,0)</f>
        <v>#REF!</v>
      </c>
      <c r="O14" t="e">
        <f>IF(Monitorios="SI",Datos!CG14,0)</f>
        <v>#REF!</v>
      </c>
      <c r="P14" t="e">
        <f>IF(Monitorios="SI",Datos!CH14,0)</f>
        <v>#REF!</v>
      </c>
      <c r="Q14">
        <f>IF(J_V="SI",0,Datos!AG14)</f>
        <v>509</v>
      </c>
      <c r="R14">
        <f>IF(J_V="SI",0,Datos!AH14)</f>
        <v>518</v>
      </c>
      <c r="S14">
        <f>IF(J_V="SI",0,Datos!AI14)</f>
        <v>554</v>
      </c>
      <c r="T14">
        <f>IF(J_V="SI",0,Datos!AJ14)</f>
        <v>473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-3.5063113604488078E-3</v>
      </c>
      <c r="E16" s="393">
        <f>IF(ISNUMBER(
   IF(D_I="SI",(Datos!J16-Datos!T16)/Datos!T16,(Datos!J16+Datos!AD16-(Datos!T16+Datos!AL16))/(Datos!T16+Datos!AL16))
     ),IF(D_I="SI",(Datos!J16-Datos!T16)/Datos!T16,(Datos!J16+Datos!AD16-(Datos!T16+Datos!AL16))/(Datos!T16+Datos!AL16))," - ")</f>
        <v>-6.7019950124688277E-3</v>
      </c>
      <c r="F16" s="393">
        <f>IF(ISNUMBER(
   IF(D_I="SI",(Datos!K16-Datos!U16)/Datos!U16,(Datos!K16+Datos!AE16-(Datos!U16+Datos!AM16))/(Datos!U16+Datos!AM16))
     ),IF(D_I="SI",(Datos!K16-Datos!U16)/Datos!U16,(Datos!K16+Datos!AE16-(Datos!U16+Datos!AM16))/(Datos!U16+Datos!AM16))," - ")</f>
        <v>-3.5159315649034691E-2</v>
      </c>
      <c r="G16" s="394">
        <f>IF(ISNUMBER(
   IF(D_I="SI",(Datos!L16-Datos!V16)/Datos!V16,(Datos!L16+Datos!AF16-(Datos!V16+Datos!AN16))/(Datos!V16+Datos!AN16))
     ),IF(D_I="SI",(Datos!L16-Datos!V16)/Datos!V16,(Datos!L16+Datos!AF16-(Datos!V16+Datos!AN16))/(Datos!V16+Datos!AN16))," - ")</f>
        <v>4.5439578531445507E-2</v>
      </c>
      <c r="H16" s="244">
        <f>IF(ISNUMBER((Datos!M16-Datos!W16)/Datos!W16),(Datos!M16-Datos!W16)/Datos!W16," - ")</f>
        <v>-5.6092843326885883E-2</v>
      </c>
      <c r="I16" s="395">
        <f>IF(ISNUMBER((Tasas!C16-Datos!BE16)/Datos!BE16),(Tasas!C16-Datos!BE16)/Datos!BE16," - ")</f>
        <v>8.3535961415949128E-2</v>
      </c>
      <c r="J16" s="394">
        <f>IF(ISNUMBER((Tasas!D16-Datos!BF16)/Datos!BF16),(Tasas!D16-Datos!BF16)/Datos!BF16," - ")</f>
        <v>-2.1696356732648421E-2</v>
      </c>
      <c r="K16" s="396">
        <f>IF(ISNUMBER((Tasas!E16-Datos!BG16)/Datos!BG16),(Tasas!E16-Datos!BG16)/Datos!BG16," - ")</f>
        <v>3.0513549528425235E-2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-3.0640668523676879E-2</v>
      </c>
      <c r="E18" s="393">
        <f>IF(ISNUMBER(
   IF(D_I="SI",(Datos!J18-Datos!T18)/Datos!T18,(Datos!J18+Datos!AD18-(Datos!T18+Datos!AL18))/(Datos!T18+Datos!AL18))
     ),IF(D_I="SI",(Datos!J18-Datos!T18)/Datos!T18,(Datos!J18+Datos!AD18-(Datos!T18+Datos!AL18))/(Datos!T18+Datos!AL18))," - ")</f>
        <v>0.30129870129870129</v>
      </c>
      <c r="F18" s="393">
        <f>IF(ISNUMBER(
   IF(D_I="SI",(Datos!K18-Datos!U18)/Datos!U18,(Datos!K18+Datos!AE18-(Datos!U18+Datos!AM18))/(Datos!U18+Datos!AM18))
     ),IF(D_I="SI",(Datos!K18-Datos!U18)/Datos!U18,(Datos!K18+Datos!AE18-(Datos!U18+Datos!AM18))/(Datos!U18+Datos!AM18))," - ")</f>
        <v>0.403954802259887</v>
      </c>
      <c r="G18" s="394">
        <f>IF(ISNUMBER(
   IF(D_I="SI",(Datos!L18-Datos!V18)/Datos!V18,(Datos!L18+Datos!AF18-(Datos!V18+Datos!AN18))/(Datos!V18+Datos!AN18))
     ),IF(D_I="SI",(Datos!L18-Datos!V18)/Datos!V18,(Datos!L18+Datos!AF18-(Datos!V18+Datos!AN18))/(Datos!V18+Datos!AN18))," - ")</f>
        <v>-9.7435897435897437E-2</v>
      </c>
      <c r="H18" s="244">
        <f>IF(ISNUMBER((Datos!M18-Datos!W18)/Datos!W18),(Datos!M18-Datos!W18)/Datos!W18," - ")</f>
        <v>7.2727272727272724E-2</v>
      </c>
      <c r="I18" s="395">
        <f>IF(ISNUMBER((Tasas!C18-Datos!BE18)/Datos!BE18),(Tasas!C18-Datos!BE18)/Datos!BE18," - ")</f>
        <v>-0.35712737966259095</v>
      </c>
      <c r="J18" s="394">
        <f>IF(ISNUMBER((Tasas!D18-Datos!BF18)/Datos!BF18),(Tasas!D18-Datos!BF18)/Datos!BF18," - ")</f>
        <v>-0.23592463874154021</v>
      </c>
      <c r="K18" s="396">
        <f>IF(ISNUMBER((Tasas!E18-Datos!BG18)/Datos!BG18),(Tasas!E18-Datos!BG18)/Datos!BG18," - ")</f>
        <v>-0.18720386837151951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-6.5400186857676734E-3</v>
      </c>
      <c r="E23" s="399">
        <f>IF(ISNUMBER(
   IF(D_I="SI",(Datos!J23-Datos!T23)/Datos!T23,(Datos!J23+Datos!AD23-(Datos!T23+Datos!AL23))/(Datos!T23+Datos!AL23))
     ),IF(D_I="SI",(Datos!J23-Datos!T23)/Datos!T23,(Datos!J23+Datos!AD23-(Datos!T23+Datos!AL23))/(Datos!T23+Datos!AL23))," - ")</f>
        <v>1.0733715630054404E-2</v>
      </c>
      <c r="F23" s="399">
        <f>IF(ISNUMBER(
   IF(D_I="SI",(Datos!K23-Datos!U23)/Datos!U23,(Datos!K23+Datos!AE23-(Datos!U23+Datos!AM23))/(Datos!U23+Datos!AM23))
     ),IF(D_I="SI",(Datos!K23-Datos!U23)/Datos!U23,(Datos!K23+Datos!AE23-(Datos!U23+Datos!AM23))/(Datos!U23+Datos!AM23))," - ")</f>
        <v>-1.2044609665427509E-2</v>
      </c>
      <c r="G23" s="400">
        <f>IF(ISNUMBER(
   IF(D_I="SI",(Datos!L23-Datos!V23)/Datos!V23,(Datos!L23+Datos!AF23-(Datos!V23+Datos!AN23))/(Datos!V23+Datos!AN23))
     ),IF(D_I="SI",(Datos!L23-Datos!V23)/Datos!V23,(Datos!L23+Datos!AF23-(Datos!V23+Datos!AN23))/(Datos!V23+Datos!AN23))," - ")</f>
        <v>2.9180040852057193E-2</v>
      </c>
      <c r="H23" s="401">
        <f>IF(ISNUMBER((Datos!M23-Datos!W23)/Datos!W23),(Datos!M23-Datos!W23)/Datos!W23," - ")</f>
        <v>-4.3706293706293704E-2</v>
      </c>
      <c r="I23" s="402">
        <f>IF(ISNUMBER((Tasas!C23-Datos!BE23)/Datos!BE23),(Tasas!C23-Datos!BE23)/Datos!BE23," - ")</f>
        <v>4.1727238821505863E-2</v>
      </c>
      <c r="J23" s="400">
        <f>IF(ISNUMBER((Tasas!D23-Datos!BF23)/Datos!BF23),(Tasas!D23-Datos!BF23)/Datos!BF23," - ")</f>
        <v>-3.2047685908312015E-2</v>
      </c>
      <c r="K23" s="403">
        <f>IF(ISNUMBER((Tasas!E23-Datos!BG23)/Datos!BG23),(Tasas!E23-Datos!BG23)/Datos!BG23," - ")</f>
        <v>1.7448537973576792E-2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-4.8262211096233333E-2</v>
      </c>
      <c r="E31" s="409">
        <f>IF(ISNUMBER(
   IF(J_V="SI",(Datos!J31-Datos!T31)/Datos!T31,(Datos!J31+Datos!Z31-(Datos!T31+Datos!AH31))/(Datos!T31+Datos!AH31))
     ),IF(J_V="SI",(Datos!J31-Datos!T31)/Datos!T31,(Datos!J31+Datos!Z31-(Datos!T31+Datos!AH31))/(Datos!T31+Datos!AH31))," - ")</f>
        <v>3.5704002303484021E-2</v>
      </c>
      <c r="F31" s="409">
        <f>IF(ISNUMBER(
   IF(J_V="SI",(Datos!K31-Datos!U31)/Datos!U31,(Datos!K31+Datos!AA31-(Datos!U31+Datos!AI31))/(Datos!U31+Datos!AI31))
     ),IF(J_V="SI",(Datos!K31-Datos!U31)/Datos!U31,(Datos!K31+Datos!AA31-(Datos!U31+Datos!AI31))/(Datos!U31+Datos!AI31))," - ")</f>
        <v>7.6863950807071484E-4</v>
      </c>
      <c r="G31" s="410">
        <f>IF(ISNUMBER(
   IF(J_V="SI",(Datos!L31-Datos!V31)/Datos!V31,(Datos!L31+Datos!AB31-(Datos!V31+Datos!AJ31))/(Datos!V31+Datos!AJ31))
     ),IF(J_V="SI",(Datos!L31-Datos!V31)/Datos!V31,(Datos!L31+Datos!AB31-(Datos!V31+Datos!AJ31))/(Datos!V31+Datos!AJ31))," - ")</f>
        <v>-2.8451061865189288E-2</v>
      </c>
      <c r="H31" s="411">
        <f>IF(ISNUMBER((Datos!M31-Datos!W31)/Datos!W31),(Datos!M31-Datos!W31)/Datos!W31," - ")</f>
        <v>1.7735334242837655E-2</v>
      </c>
      <c r="I31" s="408">
        <f>IF(ISNUMBER((Tasas!C31-Datos!BE31)/Datos!BE31),(Tasas!C31-Datos!BE31)/Datos!BE31," - ")</f>
        <v>-2.9197259206306624E-2</v>
      </c>
      <c r="J31" s="409">
        <f>IF(ISNUMBER((Tasas!D31-Datos!BF31)/Datos!BF31),(Tasas!D31-Datos!BF31)/Datos!BF31," - ")</f>
        <v>-0.25531764702271609</v>
      </c>
      <c r="K31" s="410">
        <f>IF(ISNUMBER((Tasas!E31-Datos!BG31)/Datos!BG31),(Tasas!E31-Datos!BG31)/Datos!BG31," - ")</f>
        <v>-1.731570104440882E-2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0.16160019450392618</v>
      </c>
      <c r="E33" s="303">
        <f t="shared" si="1"/>
        <v>0.14127349038551956</v>
      </c>
      <c r="F33" s="303">
        <f t="shared" si="1"/>
        <v>0.55888092793323663</v>
      </c>
      <c r="G33" s="304">
        <f t="shared" si="1"/>
        <v>8.0813068586845532E-2</v>
      </c>
      <c r="H33" s="310">
        <f t="shared" si="1"/>
        <v>0.10476091509477899</v>
      </c>
      <c r="I33" s="302">
        <f t="shared" si="1"/>
        <v>0.21490551229196239</v>
      </c>
      <c r="J33" s="303">
        <f t="shared" si="1"/>
        <v>0.18033028079308824</v>
      </c>
      <c r="K33" s="304">
        <f t="shared" si="1"/>
        <v>0.15874278663076377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qeDrkRp9Vft8XrUoh3pfGS+KIV9gzVacGEf/7aRP1Tretwek80OF8rnCxi/ZvvI+jOTkhxz1wHPNxbsOkVwOZA==" saltValue="1+mMu6VOLRuWlgeY/OWu9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2023-05-05T23:26:07Z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